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4.xml" ContentType="application/vnd.openxmlformats-officedocument.spreadsheetml.worksheet+xml"/>
  <Override PartName="/xl/worksheets/_rels/sheet1.xml.rels" ContentType="application/vnd.openxmlformats-package.relationships+xml"/>
  <Override PartName="/xl/worksheets/_rels/sheet1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xl/media/image3.png" ContentType="image/png"/>
  <Override PartName="/xl/media/image2.png" ContentType="image/png"/>
  <Override PartName="/xl/worksheets/sheet15.xml" ContentType="application/vnd.openxmlformats-officedocument.spreadsheetml.worksheet+xml"/>
  <Override PartName="/xl/worksheets/sheet13.xml" ContentType="application/vnd.openxmlformats-officedocument.spreadsheetml.worksheet+xml"/>
  <Override PartName="/xl/worksheets/sheet6.xml" ContentType="application/vnd.openxmlformats-officedocument.spreadsheetml.worksheet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alor da Contratação" sheetId="1" state="visible" r:id="rId3"/>
    <sheet name="Resumo" sheetId="2" state="visible" r:id="rId4"/>
    <sheet name="Equipe Técnica" sheetId="3" state="visible" r:id="rId5"/>
    <sheet name="Base Caxias do Sul" sheetId="4" state="visible" r:id="rId6"/>
    <sheet name="Desl. Base Caxias do Sul" sheetId="5" state="visible" r:id="rId7"/>
    <sheet name="Base Novo Hamburgo" sheetId="6" state="visible" r:id="rId8"/>
    <sheet name="Desl. Base Novo Hamburgo" sheetId="7" state="visible" r:id="rId9"/>
    <sheet name="Comp. Veículo" sheetId="8" state="visible" r:id="rId10"/>
    <sheet name="Custo Eng. Eletricista" sheetId="9" state="visible" r:id="rId11"/>
    <sheet name="Comp. Eng. Eletricista" sheetId="10" state="visible" r:id="rId12"/>
    <sheet name="Custo Oficial de Manutenção" sheetId="11" state="visible" r:id="rId13"/>
    <sheet name="Comp. Oficial de Manutenção" sheetId="12" state="visible" r:id="rId14"/>
    <sheet name="Unidades" sheetId="13" state="visible" r:id="rId15"/>
    <sheet name="BDI" sheetId="14" state="visible" r:id="rId16"/>
    <sheet name="Divisão Custos ISSQN" sheetId="15" state="visible" r:id="rId17"/>
  </sheets>
  <definedNames>
    <definedName function="false" hidden="false" localSheetId="3" name="_xlnm.Print_Area" vbProcedure="false">'Base Caxias do Sul'!$B$2:$AW$21</definedName>
    <definedName function="false" hidden="false" localSheetId="5" name="_xlnm.Print_Area" vbProcedure="false">'Base Novo Hamburgo'!$B$2:$AW$35</definedName>
    <definedName function="false" hidden="false" localSheetId="13" name="_xlnm.Print_Area" vbProcedure="false">BDI!$B$1:$J$44</definedName>
    <definedName function="false" hidden="false" localSheetId="4" name="_xlnm.Print_Area" vbProcedure="false">'Desl. Base Caxias do Sul'!$B$2:$M$30</definedName>
    <definedName function="false" hidden="false" localSheetId="6" name="_xlnm.Print_Area" vbProcedure="false">'Desl. Base Novo Hamburgo'!$B$2:$M$63</definedName>
    <definedName function="false" hidden="false" localSheetId="2" name="_xlnm.Print_Area" vbProcedure="false">'Equipe Técnica'!$B$2:$E$13</definedName>
    <definedName function="false" hidden="false" localSheetId="12" name="_xlnm.Print_Area" vbProcedure="false">Unidades!$B$2:$H$19</definedName>
    <definedName function="false" hidden="false" name="Excel_BuiltIn__FilterDatabase_9_1" vbProcedure="false">#REF!</definedName>
    <definedName function="false" hidden="false" name="_FilterDatabase_3" vbProcedure="false">#REF!</definedName>
    <definedName function="false" hidden="false" name="___xlnm__FilterDatabase_6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<sst xmlns="http://schemas.openxmlformats.org/spreadsheetml/2006/main" count="846" uniqueCount="331">
  <si>
    <t xml:space="preserve">ANEXO I – B4</t>
  </si>
  <si>
    <t xml:space="preserve">PLANILHA DETALHADA DE FORMAÇÃO DE PREÇO</t>
  </si>
  <si>
    <t xml:space="preserve">POLO VIII</t>
  </si>
  <si>
    <t xml:space="preserve">DESONERADA</t>
  </si>
  <si>
    <t xml:space="preserve">ITEM</t>
  </si>
  <si>
    <t xml:space="preserve">DESCRIÇÃO DO SERVIÇO</t>
  </si>
  <si>
    <t xml:space="preserve">UN.</t>
  </si>
  <si>
    <t xml:space="preserve">QTE.</t>
  </si>
  <si>
    <t xml:space="preserve">PREÇO UNITÁRIO (R$)</t>
  </si>
  <si>
    <t xml:space="preserve">PREÇO TOTAL (R$) (24 MESES)</t>
  </si>
  <si>
    <t xml:space="preserve">Serviço de manutenção predial preventiva e corretiva por demanda, com fornecimento de materiais, peças e componentes, nos imóveis relacionados no Polo Regional VIII.</t>
  </si>
  <si>
    <t xml:space="preserve">Mês</t>
  </si>
  <si>
    <t xml:space="preserve">VALOR TOTAL DO ITEM 4: R$ 2.748.720,72 (Dois milhões setecentos e quarenta e oito mil setecentos e vinte reais e setenta e dois centavos).</t>
  </si>
  <si>
    <t xml:space="preserve">BASE</t>
  </si>
  <si>
    <t xml:space="preserve">ÁREA TOTAL (m²)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</si>
  <si>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</si>
  <si>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</si>
  <si>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</si>
  <si>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</si>
  <si>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MANUTENÇÃO</t>
  </si>
  <si>
    <t xml:space="preserve">CUSTO ANUAL MANUTENÇÃO</t>
  </si>
  <si>
    <t xml:space="preserve">CAXIAS DO SUL</t>
  </si>
  <si>
    <t xml:space="preserve">NOVO HAMBURGO</t>
  </si>
  <si>
    <t xml:space="preserve">Custo Médio Mensal</t>
  </si>
  <si>
    <t xml:space="preserve">Custo Anual</t>
  </si>
  <si>
    <t xml:space="preserve">Percentual por unidade</t>
  </si>
  <si>
    <t xml:space="preserve">Preventiva</t>
  </si>
  <si>
    <t xml:space="preserve">Corretiva</t>
  </si>
  <si>
    <t xml:space="preserve">Total</t>
  </si>
  <si>
    <t xml:space="preserve">%</t>
  </si>
  <si>
    <t xml:space="preserve">Valores SINAPI*</t>
  </si>
  <si>
    <t xml:space="preserve">Engenheiro Civil (ref. SINAPI/90778)</t>
  </si>
  <si>
    <t xml:space="preserve">Engenheiro eletricista 
(comp. própria)</t>
  </si>
  <si>
    <t xml:space="preserve">Auxiliar Técnico (ref. SINAPI/88255)</t>
  </si>
  <si>
    <t xml:space="preserve">Quantidade de horas/mês</t>
  </si>
  <si>
    <t xml:space="preserve">Custo mensal</t>
  </si>
  <si>
    <t xml:space="preserve">Custo anual</t>
  </si>
  <si>
    <t xml:space="preserve">* Tabela SINAPI Janeiro/2025 (Desonerado)</t>
  </si>
  <si>
    <t xml:space="preserve">CUSTO POR PERÍODO (Sem BDI)</t>
  </si>
  <si>
    <t xml:space="preserve">Custo mensal da equipe</t>
  </si>
  <si>
    <t xml:space="preserve">Custo anual da equipe</t>
  </si>
  <si>
    <t xml:space="preserve">UNIDADE</t>
  </si>
  <si>
    <t xml:space="preserve">Área (m²)</t>
  </si>
  <si>
    <t xml:space="preserve">Horas</t>
  </si>
  <si>
    <t xml:space="preserve">GEX / APS</t>
  </si>
  <si>
    <t xml:space="preserve">Custo da equipe em execução por rotina</t>
  </si>
  <si>
    <t xml:space="preserve">Custos mensais</t>
  </si>
  <si>
    <t xml:space="preserve">Custo Equipe técnica</t>
  </si>
  <si>
    <t xml:space="preserve">Custo total por rotina (SEM BDI)</t>
  </si>
  <si>
    <t xml:space="preserve">Custo total por rotina (COM BDI)</t>
  </si>
  <si>
    <t xml:space="preserve">Custo Mensal de Manutenção por unidade</t>
  </si>
  <si>
    <t xml:space="preserve">Uso constante</t>
  </si>
  <si>
    <t xml:space="preserve">Uso esporádico</t>
  </si>
  <si>
    <t xml:space="preserve">Ociosa</t>
  </si>
  <si>
    <t xml:space="preserve">Área corrigida</t>
  </si>
  <si>
    <t xml:space="preserve">horas p visita mensal (h)</t>
  </si>
  <si>
    <t xml:space="preserve">horas p visita trimestral (h)</t>
  </si>
  <si>
    <t xml:space="preserve">Possui hidrante?</t>
  </si>
  <si>
    <t xml:space="preserve">Possui subestação?</t>
  </si>
  <si>
    <t xml:space="preserve">horas p visita semestral(h)</t>
  </si>
  <si>
    <t xml:space="preserve">horas p visita anual(h)</t>
  </si>
  <si>
    <t xml:space="preserve">Total horas p/ ano</t>
  </si>
  <si>
    <t xml:space="preserve">Mensal</t>
  </si>
  <si>
    <t xml:space="preserve">Trimestral</t>
  </si>
  <si>
    <t xml:space="preserve">Semestral</t>
  </si>
  <si>
    <t xml:space="preserve">Anual</t>
  </si>
  <si>
    <t xml:space="preserve">Equipe em desl.</t>
  </si>
  <si>
    <t xml:space="preserve">Pernoite</t>
  </si>
  <si>
    <t xml:space="preserve">Pedágio</t>
  </si>
  <si>
    <t xml:space="preserve">Veículo</t>
  </si>
  <si>
    <t xml:space="preserve">Total de horas de execução do Polo:</t>
  </si>
  <si>
    <t xml:space="preserve">BDI</t>
  </si>
  <si>
    <t xml:space="preserve">Custo Médio Mensal Preventiva</t>
  </si>
  <si>
    <t xml:space="preserve">Custo Médio Mensal Corretiva</t>
  </si>
  <si>
    <t xml:space="preserve">Custo Médio Mensal Manutenção</t>
  </si>
  <si>
    <t xml:space="preserve">Custos / Rotinas</t>
  </si>
  <si>
    <t xml:space="preserve">coeficiente</t>
  </si>
  <si>
    <t xml:space="preserve">12 rotinas</t>
  </si>
  <si>
    <t xml:space="preserve">4 rotinas</t>
  </si>
  <si>
    <t xml:space="preserve">2 rotinas</t>
  </si>
  <si>
    <t xml:space="preserve">1 rotina</t>
  </si>
  <si>
    <t xml:space="preserve">GEX/APS CAXIAS DO SUL</t>
  </si>
  <si>
    <t xml:space="preserve">Custo por tipo de rotina</t>
  </si>
  <si>
    <t xml:space="preserve">CEDOCPREV CAXIAS DO SUL</t>
  </si>
  <si>
    <t xml:space="preserve">Custo Anual por tipo de rotina</t>
  </si>
  <si>
    <t xml:space="preserve">ARQUIVO RUA MARQUÊS DO HERVAL</t>
  </si>
  <si>
    <t xml:space="preserve">APS FLORES DA CUNHA</t>
  </si>
  <si>
    <t xml:space="preserve">APS CARLOS BARBOSA</t>
  </si>
  <si>
    <t xml:space="preserve">Custo Anual Preventiva</t>
  </si>
  <si>
    <t xml:space="preserve">APS GARIBALDI</t>
  </si>
  <si>
    <t xml:space="preserve">APS BENTO GONÇALVES</t>
  </si>
  <si>
    <t xml:space="preserve">Custo Anual Corretiva</t>
  </si>
  <si>
    <t xml:space="preserve">APS FARROUPILHA</t>
  </si>
  <si>
    <t xml:space="preserve">APS CANELA</t>
  </si>
  <si>
    <t xml:space="preserve">Custo Anual Manutenção</t>
  </si>
  <si>
    <t xml:space="preserve">APS TORRES</t>
  </si>
  <si>
    <t xml:space="preserve">TOTAL</t>
  </si>
  <si>
    <t xml:space="preserve">Oficial de Manutenção Predial</t>
  </si>
  <si>
    <t xml:space="preserve">Ajudante (ref. SINAPI/88241)</t>
  </si>
  <si>
    <t xml:space="preserve">Eletrotécnico (ref. SINAPI/88266)</t>
  </si>
  <si>
    <t xml:space="preserve">Rotas</t>
  </si>
  <si>
    <t xml:space="preserve">Trecho 1 (Km)</t>
  </si>
  <si>
    <t xml:space="preserve">Trecho 2 (Km)</t>
  </si>
  <si>
    <t xml:space="preserve">Trecho 3 (Km)</t>
  </si>
  <si>
    <t xml:space="preserve">Total (Km)</t>
  </si>
  <si>
    <t xml:space="preserve">Trecho 1 (min)</t>
  </si>
  <si>
    <t xml:space="preserve">Trecho 2 (min)</t>
  </si>
  <si>
    <t xml:space="preserve">Trecho 3 (min)</t>
  </si>
  <si>
    <t xml:space="preserve">Total (min)</t>
  </si>
  <si>
    <t xml:space="preserve">Total (horas)</t>
  </si>
  <si>
    <t xml:space="preserve">Pedágio (ida e volta) *</t>
  </si>
  <si>
    <t xml:space="preserve">Unidades na rota</t>
  </si>
  <si>
    <t xml:space="preserve">Média horas p/ unidade</t>
  </si>
  <si>
    <t xml:space="preserve">Média pedágio p/ unidade</t>
  </si>
  <si>
    <t xml:space="preserve">Subestação?</t>
  </si>
  <si>
    <t xml:space="preserve">Inclui eletrotécnico no deslocamento?</t>
  </si>
  <si>
    <t xml:space="preserve">Custo do Veículo</t>
  </si>
  <si>
    <t xml:space="preserve">Composição*</t>
  </si>
  <si>
    <t xml:space="preserve">Descrição</t>
  </si>
  <si>
    <t xml:space="preserve">Unidade</t>
  </si>
  <si>
    <t xml:space="preserve">Valor</t>
  </si>
  <si>
    <t xml:space="preserve">92145/SINAPI</t>
  </si>
  <si>
    <t xml:space="preserve">CAMINHONETE CABINE SIMPLES</t>
  </si>
  <si>
    <t xml:space="preserve">CHP</t>
  </si>
  <si>
    <t xml:space="preserve">92146/SINAPI</t>
  </si>
  <si>
    <t xml:space="preserve">CHI</t>
  </si>
  <si>
    <t xml:space="preserve">* Nas composições utilizadas foram retirados os custos com motorista, pelo fato da própria equipe conduzir o veículo. A composição detalhada encontra-se em planilha apartada.</t>
  </si>
  <si>
    <t xml:space="preserve">Custo Mensal do Veículo</t>
  </si>
  <si>
    <t xml:space="preserve">Pedágios</t>
  </si>
  <si>
    <t xml:space="preserve">Preços pesquisados em 10/12/2024</t>
  </si>
  <si>
    <t xml:space="preserve">GEX NOVO HAMBURGO</t>
  </si>
  <si>
    <t xml:space="preserve">APS NOVO HAMBURGO</t>
  </si>
  <si>
    <t xml:space="preserve">APS CAMPO BOM</t>
  </si>
  <si>
    <t xml:space="preserve">DEPÓSITO NOVO HAMBURGO</t>
  </si>
  <si>
    <t xml:space="preserve">APS TRÊS COROAS</t>
  </si>
  <si>
    <t xml:space="preserve">APS DOIS IRMÃOS</t>
  </si>
  <si>
    <t xml:space="preserve">APS SAPIRANGA</t>
  </si>
  <si>
    <t xml:space="preserve">APS PORTÃO</t>
  </si>
  <si>
    <t xml:space="preserve">APS SÃO LEOPOLDO</t>
  </si>
  <si>
    <t xml:space="preserve">APS MONTENEGRO</t>
  </si>
  <si>
    <t xml:space="preserve">APS SÃO SEBASTIÃO DO CAÍ</t>
  </si>
  <si>
    <t xml:space="preserve">APS ESTRELA</t>
  </si>
  <si>
    <t xml:space="preserve">APS LAJEADO</t>
  </si>
  <si>
    <t xml:space="preserve">APS Encantado</t>
  </si>
  <si>
    <t xml:space="preserve">APS TEUTÔNIA</t>
  </si>
  <si>
    <t xml:space="preserve">APS TAQUARA</t>
  </si>
  <si>
    <t xml:space="preserve">APS SANTO ANTÔNIO DA PATRULHA</t>
  </si>
  <si>
    <t xml:space="preserve">APS OSÓRIO</t>
  </si>
  <si>
    <t xml:space="preserve">APS BUTIÁ</t>
  </si>
  <si>
    <t xml:space="preserve">APS SÃO JERÔNIMO</t>
  </si>
  <si>
    <t xml:space="preserve">APS TAQUARI</t>
  </si>
  <si>
    <t xml:space="preserve">Pedágio (ida e volta)</t>
  </si>
  <si>
    <t xml:space="preserve">COMPOSIÇÃO CUSTO DO VEÍCULO</t>
  </si>
  <si>
    <t xml:space="preserve">Composição ALTERADA SINAPI – 92145 (SEM MOTORISTA)</t>
  </si>
  <si>
    <t xml:space="preserve">Código</t>
  </si>
  <si>
    <t xml:space="preserve">92145</t>
  </si>
  <si>
    <t xml:space="preserve">CAMINHONETE CABINE SIMPLES COM MOTOR 1.6 FLEX, CÂMBIO MANUAL, POTÊNCIA 101/104 CV, 2 PORTAS - CHP DIURNO. AF_11/2015</t>
  </si>
  <si>
    <t xml:space="preserve">Data</t>
  </si>
  <si>
    <t xml:space="preserve">01/2025</t>
  </si>
  <si>
    <t xml:space="preserve">Estado</t>
  </si>
  <si>
    <t xml:space="preserve">Rio Grande do Sul</t>
  </si>
  <si>
    <t xml:space="preserve">Tipo</t>
  </si>
  <si>
    <t xml:space="preserve">CHOR - CUSTOS HORÁRIOS DE MÁQUINAS E EQUIPAMENTOS</t>
  </si>
  <si>
    <t xml:space="preserve">Valor Desonerado</t>
  </si>
  <si>
    <t xml:space="preserve">codigo</t>
  </si>
  <si>
    <t xml:space="preserve">Coeficiente</t>
  </si>
  <si>
    <t xml:space="preserve">C</t>
  </si>
  <si>
    <t xml:space="preserve">92140</t>
  </si>
  <si>
    <t xml:space="preserve">CAMINHONETE CABINE SIMPLES COM MOTOR 1.6 FLEX, CÂMBIO MANUAL, POTÊNCIA 101/104 CV, 2 PORTAS - DEPRECIAÇÃO. AF_11/2015</t>
  </si>
  <si>
    <t xml:space="preserve">H</t>
  </si>
  <si>
    <t xml:space="preserve">92141</t>
  </si>
  <si>
    <t xml:space="preserve">CAMINHONETE CABINE SIMPLES COM MOTOR 1.6 FLEX, CÂMBIO MANUAL, POTÊNCIA 101/104 CV, 2 PORTAS - JUROS. AF_11/2015</t>
  </si>
  <si>
    <t xml:space="preserve">92142</t>
  </si>
  <si>
    <t xml:space="preserve">CAMINHONETE CABINE SIMPLES COM MOTOR 1.6 FLEX, CÂMBIO MANUAL, POTÊNCIA 101/104 CV, 2 PORTAS - IMPOSTOS E SEGUROS. AF_11/2015</t>
  </si>
  <si>
    <t xml:space="preserve">92143</t>
  </si>
  <si>
    <t xml:space="preserve">CAMINHONETE CABINE SIMPLES COM MOTOR 1.6 FLEX, CÂMBIO MANUAL, POTÊNCIA 101/104 CV, 2 PORTAS - MANUTENÇÃO. AF_11/2015</t>
  </si>
  <si>
    <t xml:space="preserve">92144</t>
  </si>
  <si>
    <t xml:space="preserve">CAMINHONETE CABINE SIMPLES COM MOTOR 1.6 FLEX, CÂMBIO MANUAL, POTÊNCIA 101/104 CV, 2 PORTAS - MATERIAIS NA OPERAÇÃO. AF_11/2015</t>
  </si>
  <si>
    <t xml:space="preserve">Composição ALTERADA SINAPI – 92146 (SEM MOTORISTA)</t>
  </si>
  <si>
    <t xml:space="preserve">92146</t>
  </si>
  <si>
    <t xml:space="preserve">CAMINHONETE CABINE SIMPLES COM MOTOR 1.6 FLEX, CÂMBIO MANUAL, POTÊNCIA 101/104 CV, 2 PORTAS - CHI DIURNO. AF_11/2015</t>
  </si>
  <si>
    <t xml:space="preserve">RIO GRANDE DO SUL</t>
  </si>
  <si>
    <t xml:space="preserve">Profissional</t>
  </si>
  <si>
    <t xml:space="preserve">ENGENHEIRO ELETRICISTA</t>
  </si>
  <si>
    <t xml:space="preserve">Referência</t>
  </si>
  <si>
    <t xml:space="preserve">99275 / insumo SBC</t>
  </si>
  <si>
    <t xml:space="preserve">Data base</t>
  </si>
  <si>
    <t xml:space="preserve">Custo do insumo (h)</t>
  </si>
  <si>
    <t xml:space="preserve">Encargos Sociais (*) - (ES)</t>
  </si>
  <si>
    <t xml:space="preserve">Apêndice 21: Encargos Sociais – Rio Grande do Sul</t>
  </si>
  <si>
    <t xml:space="preserve">Horista Desonerado</t>
  </si>
  <si>
    <t xml:space="preserve">Horista Não Desonerado</t>
  </si>
  <si>
    <t xml:space="preserve">Cálculo custo do funcionário</t>
  </si>
  <si>
    <r>
      <rPr>
        <sz val="11"/>
        <color rgb="FF000000"/>
        <rFont val="Arial"/>
        <family val="2"/>
        <charset val="1"/>
      </rPr>
      <t xml:space="preserve">Horista Desonerado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</si>
  <si>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1"/>
        <color rgb="FF000000"/>
        <rFont val="Arial"/>
        <family val="2"/>
        <charset val="1"/>
      </rPr>
      <t xml:space="preserve">Horista Não Desonerado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</si>
  <si>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(**) Fonte: Livro SINAPI: Cálculos e Parâmetros: Sistema Nacional de Pesquisa de Custos e Índices da Construção Civil / Caixa Econômica Federal. – 7ª Ed. – Brasília: CAIXA, 2025.</t>
  </si>
  <si>
    <t xml:space="preserve">COMPOSIÇÃO CUSTO ENGENHEIRO ELETRICISTA</t>
  </si>
  <si>
    <t xml:space="preserve">Composição ALTERADA SINAPI – 91677</t>
  </si>
  <si>
    <t xml:space="preserve">ENGENHEIRO ELETRICISTA COM ENCARGOS COMPLEMENTARES</t>
  </si>
  <si>
    <t xml:space="preserve">SEDI - SERVIÇOS DIVERSOS</t>
  </si>
  <si>
    <t xml:space="preserve">Valor Unitário Desonerado</t>
  </si>
  <si>
    <t xml:space="preserve">I</t>
  </si>
  <si>
    <t xml:space="preserve">23685/SBC</t>
  </si>
  <si>
    <t xml:space="preserve">CURSO DE CAPACITACAO PARA ENGENHEIRO CIVIL DE OBRA PLENO</t>
  </si>
  <si>
    <t xml:space="preserve">-</t>
  </si>
  <si>
    <t xml:space="preserve">99275/SBC</t>
  </si>
  <si>
    <t xml:space="preserve">Mão de Obra</t>
  </si>
  <si>
    <t xml:space="preserve"> 00037372 </t>
  </si>
  <si>
    <t xml:space="preserve">EXAMES - HORISTA (COLETADO CAIXA - ENCARGOS COMPLEMENTARES)</t>
  </si>
  <si>
    <t xml:space="preserve">Outros</t>
  </si>
  <si>
    <t xml:space="preserve"> 00037373 </t>
  </si>
  <si>
    <t xml:space="preserve">SEGURO - HORISTA (COLETADO CAIXA - ENCARGOS COMPLEMENTARES)</t>
  </si>
  <si>
    <t xml:space="preserve">Taxas</t>
  </si>
  <si>
    <t xml:space="preserve"> 00043462 </t>
  </si>
  <si>
    <t xml:space="preserve">FERRAMENTAS - FAMILIA ENGENHEIRO CIVIL - HORISTA (ENCARGOS COMPLEMENTARES - COLETADO CAIXA)</t>
  </si>
  <si>
    <t xml:space="preserve">Equipamento</t>
  </si>
  <si>
    <t xml:space="preserve"> 00043486 </t>
  </si>
  <si>
    <t xml:space="preserve">EPI - FAMILIA ENGENHEIRO CIVIL - HORISTA (ENCARGOS COMPLEMENTARES - COLETADO CAIXA)</t>
  </si>
  <si>
    <t xml:space="preserve">Categoria</t>
  </si>
  <si>
    <t xml:space="preserve">Oficial (*)</t>
  </si>
  <si>
    <t xml:space="preserve">Convenção coletiva</t>
  </si>
  <si>
    <r>
      <rPr>
        <sz val="11"/>
        <color rgb="FF000000"/>
        <rFont val="Arial"/>
        <family val="2"/>
        <charset val="1"/>
      </rPr>
      <t xml:space="preserve"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 xml:space="preserve">RS002811/2024</t>
    </r>
  </si>
  <si>
    <t xml:space="preserve">Abrangência</t>
  </si>
  <si>
    <t xml:space="preserve">Trabalhadores das indústrias da construção civil de Porto Alegre/RS e região</t>
  </si>
  <si>
    <t xml:space="preserve">Salário base (SB)</t>
  </si>
  <si>
    <t xml:space="preserve">Encargos Sociais (**) - (ES)
Apêndice 21: Encargos Sociais – Rio Grande do Sul</t>
  </si>
  <si>
    <t xml:space="preserve">Mensalista Desonerado</t>
  </si>
  <si>
    <t xml:space="preserve">Mensalista Não Desonerado</t>
  </si>
  <si>
    <t xml:space="preserve">Cálculo custo do funcionário (***)</t>
  </si>
  <si>
    <r>
      <rPr>
        <sz val="11"/>
        <color rgb="FF000000"/>
        <rFont val="Arial"/>
        <family val="2"/>
        <charset val="1"/>
      </rPr>
      <t xml:space="preserve">Mensalista Desonerado (M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</si>
  <si>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Mensalista Não desonerado (M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</si>
  <si>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Horista Desonerado (****)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</si>
  <si>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1"/>
        <color rgb="FF000000"/>
        <rFont val="Arial"/>
        <family val="2"/>
        <charset val="1"/>
      </rPr>
      <t xml:space="preserve">Horista Não Desonerado (****)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</si>
  <si>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Descrição da categoria na CCT</t>
  </si>
  <si>
    <t xml:space="preserve">(***) Fonte: SINAPI: Metodologias e Conceitos: Sistema Nacional de Pesquisa de Custos e Índices da Construção Civil / Caixa Econômica Federal. – 10ª Ed. – Brasília: CAIXA, 2024</t>
  </si>
  <si>
    <t xml:space="preserve">(****) Fórmula para cálculo do custo do horista, com base no custo do mensalista (Livro Metodologias e Conceitos, página 78)</t>
  </si>
  <si>
    <t xml:space="preserve">COMPOSIÇÃO CUSTO OFICIAL DE MANUTENÇÃO PREDIAL (CBO 5143-25)</t>
  </si>
  <si>
    <t xml:space="preserve">Composição ALTERADA SINAPI – 88264</t>
  </si>
  <si>
    <t xml:space="preserve">OFICIAL DE MANUTENÇÃO PREDIAL COM ENCARGOS COMPLEMENTARES (CBO 5143-25)</t>
  </si>
  <si>
    <t xml:space="preserve">CURSO DE CAPACITAÇÃO PARA ELETRICISTA (ENCARGOS COMPLEMENTARES) - HORISTA</t>
  </si>
  <si>
    <t xml:space="preserve">Pesquisa de mercado</t>
  </si>
  <si>
    <t xml:space="preserve">OFICIAL DE MANUTENÇÃO PREDIAL (OFICIAL/PROFISSIONAL CCT RS002811/2024)</t>
  </si>
  <si>
    <t xml:space="preserve">ALIMENTACAO - HORISTA (COLETADO CAIXA - ENCARGOS COMPLEMENTARES)</t>
  </si>
  <si>
    <t xml:space="preserve">TRANSPORTE - HORISTA (COLETADO CAIXA - ENCARGOS COMPLEMENTARES)</t>
  </si>
  <si>
    <t xml:space="preserve">Serviços</t>
  </si>
  <si>
    <t xml:space="preserve">FERRAMENTAS - FAMILIA ELETRICISTA - HORISTA (ENCARGOS COMPLEMENTARES - COLETADO CAIXA)</t>
  </si>
  <si>
    <t xml:space="preserve">FERRAMENTAS - FAMILIA ENCANADOR - HORISTA (ENCARGOS COMPLEMENTARES - COLETADO CAIXA)</t>
  </si>
  <si>
    <t xml:space="preserve">EPI – FAMILIA ELETRICISTA - HORISTA (ENCARGOS COMPLEMENTARES - COLETADO CAIXA)</t>
  </si>
  <si>
    <t xml:space="preserve">GERÊNCIA</t>
  </si>
  <si>
    <t xml:space="preserve">ENDEREÇO</t>
  </si>
  <si>
    <t xml:space="preserve">TEMPO DE DESLOCAMENTO IDA E VOLTA DA BASE EM HORAS</t>
  </si>
  <si>
    <t xml:space="preserve">ISS</t>
  </si>
  <si>
    <t xml:space="preserve">ÁREA CONSTRUÍDA (M²)</t>
  </si>
  <si>
    <t xml:space="preserve">Uso constante
(M²)</t>
  </si>
  <si>
    <t xml:space="preserve">Uso esporádico (M²)</t>
  </si>
  <si>
    <t xml:space="preserve">Ociosa (M²)</t>
  </si>
  <si>
    <t xml:space="preserve">HIDRANTE</t>
  </si>
  <si>
    <t xml:space="preserve">SUBESTAÇÃO</t>
  </si>
  <si>
    <t xml:space="preserve">Rua Júlio de Castilhos, 291</t>
  </si>
  <si>
    <t xml:space="preserve">NÃO</t>
  </si>
  <si>
    <t xml:space="preserve">Rua Dona Carlinda, 810</t>
  </si>
  <si>
    <t xml:space="preserve">SIM</t>
  </si>
  <si>
    <t xml:space="preserve">Rua Vereador Ubaldo Baldasso, 268</t>
  </si>
  <si>
    <t xml:space="preserve">Rua Coronel Pena de Moraes, 59-A</t>
  </si>
  <si>
    <t xml:space="preserve">Rua Borges de Medeiros, 2110</t>
  </si>
  <si>
    <t xml:space="preserve">Rua João Missiaggia, 159</t>
  </si>
  <si>
    <t xml:space="preserve">Rua Marquês do Herval, 761</t>
  </si>
  <si>
    <t xml:space="preserve">Av. da Vindima, 165</t>
  </si>
  <si>
    <t xml:space="preserve">Rua Visconde de Pelotas, 2280</t>
  </si>
  <si>
    <t xml:space="preserve">CANOAS</t>
  </si>
  <si>
    <t xml:space="preserve">Av. do Riacho, 235</t>
  </si>
  <si>
    <t xml:space="preserve">Rua Bento Gonçalves, 1891, Centro</t>
  </si>
  <si>
    <t xml:space="preserve">Rua Rodolfo Dick, 129, Centro</t>
  </si>
  <si>
    <t xml:space="preserve">Av. Sapiranga, 665, Centro</t>
  </si>
  <si>
    <t xml:space="preserve">APS ENCANTADO</t>
  </si>
  <si>
    <t xml:space="preserve">Rua João Luca, 186, Centro</t>
  </si>
  <si>
    <t xml:space="preserve">Av. Barão do Rio Branco, 553, Centro</t>
  </si>
  <si>
    <t xml:space="preserve">Rua Cel. Júlio May, 477, Centro</t>
  </si>
  <si>
    <t xml:space="preserve">Rua Olávo Bilac, 1284, Centro</t>
  </si>
  <si>
    <t xml:space="preserve">Av. Pedro Adams Filho, 5757, Térreo, Centro</t>
  </si>
  <si>
    <t xml:space="preserve">Rua Rondônia, 233</t>
  </si>
  <si>
    <t xml:space="preserve">Rua Conceição, 364, Centro</t>
  </si>
  <si>
    <t xml:space="preserve">Rua Benjamin Constant, 182, Centro</t>
  </si>
  <si>
    <t xml:space="preserve">Av. João Correa, 1622, Centro</t>
  </si>
  <si>
    <t xml:space="preserve">Rua Guilherme Lahm, 1508, Centro</t>
  </si>
  <si>
    <t xml:space="preserve">Rua Osvaldo Aranha, 2536, Centro</t>
  </si>
  <si>
    <t xml:space="preserve">Av. Um Norte, 315, Centro</t>
  </si>
  <si>
    <t xml:space="preserve">Rua Felipe Bender, S/N, Centro</t>
  </si>
  <si>
    <t xml:space="preserve">Rua Tamandaré, 221, Pátria Nova</t>
  </si>
  <si>
    <t xml:space="preserve">Av. Leandro de Almeida, 356</t>
  </si>
  <si>
    <t xml:space="preserve">Rua Firmiano Osório, 949, Centro</t>
  </si>
  <si>
    <t xml:space="preserve">Rua Coronel Vitor Villa-Verde, 2, Centro</t>
  </si>
  <si>
    <t xml:space="preserve">Rua Rio Branco, 384, Centro</t>
  </si>
  <si>
    <t xml:space="preserve">PLANILHA DE COMPOSIÇÃO DAS TAXAS DE BONIFICAÇÃO E DESPESAS INDIRETAS (BDI)</t>
  </si>
  <si>
    <t xml:space="preserve">Fórmula utilizada no Acórdão TCU 2622/2013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</si>
  <si>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</si>
  <si>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</si>
  <si>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</si>
  <si>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</si>
  <si>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</si>
  <si>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</si>
  <si>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</si>
  <si>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</si>
  <si>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</si>
  <si>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</si>
  <si>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</si>
  <si>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</si>
  <si>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</si>
  <si>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</si>
  <si>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</si>
  <si>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</si>
  <si>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</si>
  <si>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</si>
  <si>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</si>
  <si>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</si>
  <si>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PIS</t>
  </si>
  <si>
    <t xml:space="preserve">COFINS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</si>
  <si>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</si>
  <si>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</si>
  <si>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</si>
  <si>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</si>
  <si>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ISS do município</t>
  </si>
  <si>
    <t xml:space="preserve">Custo anual preventiva SEM BDI</t>
  </si>
  <si>
    <t xml:space="preserve">Custo anual preventiva COM BDI</t>
  </si>
  <si>
    <t xml:space="preserve">Alíquota ISS (%)</t>
  </si>
  <si>
    <t xml:space="preserve">Preventiva Sem BDI</t>
  </si>
  <si>
    <t xml:space="preserve">Preventiva Com BDI</t>
  </si>
  <si>
    <t xml:space="preserve">Valor total sem BDI</t>
  </si>
  <si>
    <t xml:space="preserve">Valor total com BDI</t>
  </si>
  <si>
    <t xml:space="preserve">% sem BDI</t>
  </si>
  <si>
    <t xml:space="preserve">% com BDI</t>
  </si>
</sst>
</file>

<file path=xl/styles.xml><?xml version="1.0" encoding="utf-8"?>
<styleSheet xmlns="http://schemas.openxmlformats.org/spreadsheetml/2006/main">
  <numFmts count="20">
    <numFmt numFmtId="164" formatCode="General"/>
    <numFmt numFmtId="165" formatCode="&quot; R$ &quot;* #,##0.00\ ;&quot;-R$ &quot;* #,##0.00\ ;&quot; R$ &quot;* \-#\ ;@\ "/>
    <numFmt numFmtId="166" formatCode="0%"/>
    <numFmt numFmtId="167" formatCode="[$R$-416]\ #,##0.00;[RED]\-[$R$-416]\ #,##0.00"/>
    <numFmt numFmtId="168" formatCode="0.00%"/>
    <numFmt numFmtId="169" formatCode="General"/>
    <numFmt numFmtId="170" formatCode="#,##0.00"/>
    <numFmt numFmtId="171" formatCode="0.00"/>
    <numFmt numFmtId="172" formatCode="0.0000%"/>
    <numFmt numFmtId="173" formatCode="#,##0.00_);[RED]\(#,##0.00\)"/>
    <numFmt numFmtId="174" formatCode="#,##0.00\ ;[RED]\(#,##0.00\)"/>
    <numFmt numFmtId="175" formatCode="#,##0.0"/>
    <numFmt numFmtId="176" formatCode="#,##0"/>
    <numFmt numFmtId="177" formatCode="_-* #,##0.00_-;\-* #,##0.00_-;_-* \-??_-;_-@_-"/>
    <numFmt numFmtId="178" formatCode="0"/>
    <numFmt numFmtId="179" formatCode="@"/>
    <numFmt numFmtId="180" formatCode="mm/yy"/>
    <numFmt numFmtId="181" formatCode="&quot;R$ &quot;#,##0.00"/>
    <numFmt numFmtId="182" formatCode="d/m/yyyy"/>
    <numFmt numFmtId="183" formatCode="&quot;R$ &quot;#,##0.00;[RED]&quot;-R$ &quot;#,##0.00"/>
  </numFmts>
  <fonts count="31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1"/>
      <color rgb="FF000000"/>
      <name val="Arial"/>
      <family val="0"/>
      <charset val="1"/>
    </font>
    <font>
      <b val="true"/>
      <sz val="11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sz val="10"/>
      <color rgb="FF000000"/>
      <name val="Times New Roman"/>
      <family val="1"/>
      <charset val="1"/>
    </font>
    <font>
      <sz val="10"/>
      <color rgb="FFFF0000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sz val="10"/>
      <name val="Arial"/>
      <family val="1"/>
      <charset val="1"/>
    </font>
    <font>
      <b val="true"/>
      <sz val="10"/>
      <color theme="1"/>
      <name val="Arial"/>
      <family val="1"/>
      <charset val="1"/>
    </font>
    <font>
      <sz val="10"/>
      <color rgb="FF000000"/>
      <name val="Arial"/>
      <family val="1"/>
      <charset val="1"/>
    </font>
    <font>
      <vertAlign val="subscript"/>
      <sz val="10"/>
      <name val="Arial"/>
      <family val="2"/>
      <charset val="1"/>
    </font>
    <font>
      <sz val="10"/>
      <color rgb="FF000000"/>
      <name val="Arial"/>
      <family val="0"/>
      <charset val="1"/>
    </font>
    <font>
      <b val="true"/>
      <sz val="10"/>
      <color rgb="FF000000"/>
      <name val="Arial"/>
      <family val="1"/>
      <charset val="1"/>
    </font>
    <font>
      <sz val="12"/>
      <name val="Arial"/>
      <family val="2"/>
      <charset val="1"/>
    </font>
    <font>
      <sz val="10"/>
      <color rgb="FF000000"/>
      <name val="Arial;Arial"/>
      <family val="2"/>
      <charset val="1"/>
    </font>
    <font>
      <sz val="12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3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theme="0" tint="-0.15"/>
        <bgColor rgb="FFDCDADA"/>
      </patternFill>
    </fill>
    <fill>
      <patternFill patternType="solid">
        <fgColor theme="6" tint="0.7998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theme="0"/>
        <bgColor rgb="FFEEEEEE"/>
      </patternFill>
    </fill>
    <fill>
      <patternFill patternType="solid">
        <fgColor theme="2" tint="-0.05"/>
        <bgColor rgb="FFD9D9D9"/>
      </patternFill>
    </fill>
    <fill>
      <patternFill patternType="solid">
        <fgColor theme="2" tint="-0.15"/>
        <bgColor rgb="FFC9C9C9"/>
      </patternFill>
    </fill>
    <fill>
      <patternFill patternType="solid">
        <fgColor theme="6" tint="0.3998"/>
        <bgColor rgb="FFC5C3C3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 style="thin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8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4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9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3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3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13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1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4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4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2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9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3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11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4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3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1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3" fontId="13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2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4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1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3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4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4" fontId="13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4" fontId="1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4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4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4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1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1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3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5" fontId="12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13" fillId="0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3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13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3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3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13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3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13" fillId="6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2" fillId="6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4" fontId="13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4" fontId="13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1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6" fontId="12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3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2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3" fillId="6" borderId="2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2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2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3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3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3" borderId="2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6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0" fillId="6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79" fontId="20" fillId="6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6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1" fillId="6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6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0" fillId="6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8" fillId="6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6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6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22" fillId="6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6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0" fontId="20" fillId="6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1" fontId="21" fillId="6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2" fontId="5" fillId="6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6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8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8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4" fillId="7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1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81" fontId="5" fillId="0" borderId="0" xfId="23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3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3" borderId="2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6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0" fillId="6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79" fontId="20" fillId="6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6" borderId="1" xfId="2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5" fillId="6" borderId="1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6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0" fillId="6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8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0" fillId="6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2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1" fontId="22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23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4" fillId="4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0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9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9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4" fillId="4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9" fontId="20" fillId="0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71" fontId="22" fillId="0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0" fillId="0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0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1" fontId="20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8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2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5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6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4" fontId="12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5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8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8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4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3" fillId="4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3" fillId="4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3" fillId="4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2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5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1" fontId="12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3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3" fontId="14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4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1" fontId="13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Normal 2" xfId="21"/>
    <cellStyle name="Normal 3" xfId="22"/>
    <cellStyle name="Normal 4" xfId="23"/>
    <cellStyle name="Porcentagem 2" xfId="24"/>
    <cellStyle name="TableStyleLight1" xfId="25"/>
    <cellStyle name="TableStyleLight1 2" xfId="26"/>
    <cellStyle name="TableStyleLight1 3" xfId="2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C3C3"/>
      <rgbColor rgb="FF808080"/>
      <rgbColor rgb="FF9999FF"/>
      <rgbColor rgb="FF993366"/>
      <rgbColor rgb="FFEEEEEE"/>
      <rgbColor rgb="FFEDEDE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C9C9C9"/>
      <rgbColor rgb="FFFF99CC"/>
      <rgbColor rgb="FFCC99FF"/>
      <rgbColor rgb="FFDCDADA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21" Type="http://schemas.openxmlformats.org/officeDocument/2006/relationships/customXml" Target="../customXml/item6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worksheet" Target="worksheets/sheet15.xml"/><Relationship Id="rId2" Type="http://schemas.openxmlformats.org/officeDocument/2006/relationships/styles" Target="styles.xml"/><Relationship Id="rId16" Type="http://schemas.openxmlformats.org/officeDocument/2006/relationships/worksheet" Target="worksheets/sheet14.xml"/><Relationship Id="rId20" Type="http://schemas.openxmlformats.org/officeDocument/2006/relationships/customXml" Target="../customXml/item5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3.xml"/><Relationship Id="rId10" Type="http://schemas.openxmlformats.org/officeDocument/2006/relationships/worksheet" Target="worksheets/sheet8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1579320</xdr:colOff>
      <xdr:row>1</xdr:row>
      <xdr:rowOff>97920</xdr:rowOff>
    </xdr:from>
    <xdr:to>
      <xdr:col>5</xdr:col>
      <xdr:colOff>47520</xdr:colOff>
      <xdr:row>1</xdr:row>
      <xdr:rowOff>1177200</xdr:rowOff>
    </xdr:to>
    <xdr:sp>
      <xdr:nvSpPr>
        <xdr:cNvPr id="0" name="CustomShape 1"/>
        <xdr:cNvSpPr/>
      </xdr:nvSpPr>
      <xdr:spPr>
        <a:xfrm>
          <a:off x="2499480" y="288360"/>
          <a:ext cx="2641320" cy="10792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2095560</xdr:colOff>
      <xdr:row>1</xdr:row>
      <xdr:rowOff>207720</xdr:rowOff>
    </xdr:from>
    <xdr:to>
      <xdr:col>4</xdr:col>
      <xdr:colOff>381600</xdr:colOff>
      <xdr:row>1</xdr:row>
      <xdr:rowOff>1148400</xdr:rowOff>
    </xdr:to>
    <xdr:pic>
      <xdr:nvPicPr>
        <xdr:cNvPr id="1" name="Imagem 3" descr=""/>
        <xdr:cNvPicPr/>
      </xdr:nvPicPr>
      <xdr:blipFill>
        <a:blip r:embed="rId1"/>
        <a:stretch/>
      </xdr:blipFill>
      <xdr:spPr>
        <a:xfrm>
          <a:off x="3015720" y="398160"/>
          <a:ext cx="2023560" cy="9406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0</xdr:colOff>
      <xdr:row>21</xdr:row>
      <xdr:rowOff>20880</xdr:rowOff>
    </xdr:from>
    <xdr:to>
      <xdr:col>2</xdr:col>
      <xdr:colOff>2772720</xdr:colOff>
      <xdr:row>21</xdr:row>
      <xdr:rowOff>821160</xdr:rowOff>
    </xdr:to>
    <xdr:pic>
      <xdr:nvPicPr>
        <xdr:cNvPr id="2" name="Figura 1" descr=""/>
        <xdr:cNvPicPr/>
      </xdr:nvPicPr>
      <xdr:blipFill>
        <a:blip r:embed="rId1"/>
        <a:srcRect l="7851" t="45769" r="13913" b="37680"/>
        <a:stretch/>
      </xdr:blipFill>
      <xdr:spPr>
        <a:xfrm>
          <a:off x="435600" y="4021560"/>
          <a:ext cx="6433560" cy="800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142560</xdr:colOff>
      <xdr:row>25</xdr:row>
      <xdr:rowOff>61560</xdr:rowOff>
    </xdr:from>
    <xdr:to>
      <xdr:col>2</xdr:col>
      <xdr:colOff>2702520</xdr:colOff>
      <xdr:row>29</xdr:row>
      <xdr:rowOff>42480</xdr:rowOff>
    </xdr:to>
    <xdr:pic>
      <xdr:nvPicPr>
        <xdr:cNvPr id="3" name="Figura 2" descr=""/>
        <xdr:cNvPicPr/>
      </xdr:nvPicPr>
      <xdr:blipFill>
        <a:blip r:embed="rId2"/>
        <a:srcRect l="17758" t="51097" r="20982" b="38294"/>
        <a:stretch/>
      </xdr:blipFill>
      <xdr:spPr>
        <a:xfrm>
          <a:off x="578160" y="6195600"/>
          <a:ext cx="6220800" cy="6285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65541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5" activeCellId="0" sqref="C15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" width="6.25"/>
    <col collapsed="false" customWidth="true" hidden="false" outlineLevel="0" max="3" min="3" style="2" width="42.12"/>
    <col collapsed="false" customWidth="true" hidden="false" outlineLevel="0" max="4" min="4" style="2" width="6.12"/>
    <col collapsed="false" customWidth="true" hidden="false" outlineLevel="0" max="5" min="5" style="2" width="5.62"/>
    <col collapsed="false" customWidth="true" hidden="false" outlineLevel="0" max="6" min="6" style="2" width="15.26"/>
    <col collapsed="false" customWidth="true" hidden="false" outlineLevel="0" max="7" min="7" style="2" width="20"/>
    <col collapsed="false" customWidth="true" hidden="false" outlineLevel="0" max="254" min="8" style="2" width="10.62"/>
    <col collapsed="false" customWidth="true" hidden="false" outlineLevel="0" max="1026" min="255" style="1" width="10.5"/>
  </cols>
  <sheetData>
    <row r="1" customFormat="false" ht="15" hidden="false" customHeight="true" outlineLevel="0" collapsed="false"/>
    <row r="2" customFormat="false" ht="103.5" hidden="false" customHeight="true" outlineLevel="0" collapsed="false">
      <c r="B2" s="3"/>
      <c r="C2" s="3"/>
      <c r="D2" s="3"/>
      <c r="E2" s="3"/>
      <c r="F2" s="3"/>
      <c r="G2" s="3"/>
    </row>
    <row r="3" customFormat="false" ht="18" hidden="false" customHeight="true" outlineLevel="0" collapsed="false">
      <c r="B3" s="4"/>
      <c r="C3" s="4"/>
      <c r="D3" s="4"/>
      <c r="E3" s="4"/>
      <c r="F3" s="4"/>
      <c r="G3" s="4"/>
    </row>
    <row r="4" customFormat="false" ht="18" hidden="false" customHeight="true" outlineLevel="0" collapsed="false">
      <c r="B4" s="5" t="s">
        <v>0</v>
      </c>
      <c r="C4" s="5"/>
      <c r="D4" s="5"/>
      <c r="E4" s="5"/>
      <c r="F4" s="5"/>
      <c r="G4" s="5"/>
    </row>
    <row r="5" customFormat="false" ht="18" hidden="false" customHeight="true" outlineLevel="0" collapsed="false">
      <c r="B5" s="4"/>
      <c r="C5" s="4"/>
      <c r="D5" s="4"/>
      <c r="E5" s="4"/>
      <c r="F5" s="4"/>
      <c r="G5" s="4"/>
    </row>
    <row r="6" customFormat="false" ht="19.5" hidden="false" customHeight="true" outlineLevel="0" collapsed="false">
      <c r="B6" s="6" t="s">
        <v>1</v>
      </c>
      <c r="C6" s="6"/>
      <c r="D6" s="6"/>
      <c r="E6" s="6"/>
      <c r="F6" s="6"/>
      <c r="G6" s="6"/>
    </row>
    <row r="7" customFormat="false" ht="19.5" hidden="false" customHeight="true" outlineLevel="0" collapsed="false">
      <c r="B7" s="7" t="s">
        <v>2</v>
      </c>
      <c r="C7" s="7"/>
      <c r="D7" s="7"/>
      <c r="E7" s="7"/>
      <c r="F7" s="7"/>
      <c r="G7" s="7"/>
    </row>
    <row r="8" customFormat="false" ht="19.5" hidden="false" customHeight="true" outlineLevel="0" collapsed="false">
      <c r="B8" s="8" t="s">
        <v>3</v>
      </c>
      <c r="C8" s="8"/>
      <c r="D8" s="8"/>
      <c r="E8" s="8"/>
      <c r="F8" s="8"/>
      <c r="G8" s="8"/>
    </row>
    <row r="9" customFormat="false" ht="15.75" hidden="false" customHeight="true" outlineLevel="0" collapsed="false">
      <c r="B9" s="4"/>
      <c r="C9" s="4"/>
      <c r="D9" s="4"/>
      <c r="E9" s="4"/>
      <c r="F9" s="4"/>
      <c r="G9" s="4"/>
    </row>
    <row r="10" customFormat="false" ht="42" hidden="false" customHeight="true" outlineLevel="0" collapsed="false">
      <c r="B10" s="9" t="s">
        <v>4</v>
      </c>
      <c r="C10" s="9" t="s">
        <v>5</v>
      </c>
      <c r="D10" s="9" t="s">
        <v>6</v>
      </c>
      <c r="E10" s="9" t="s">
        <v>7</v>
      </c>
      <c r="F10" s="9" t="s">
        <v>8</v>
      </c>
      <c r="G10" s="10" t="s">
        <v>9</v>
      </c>
    </row>
    <row r="11" customFormat="false" ht="81" hidden="false" customHeight="true" outlineLevel="0" collapsed="false">
      <c r="B11" s="11" t="n">
        <v>4</v>
      </c>
      <c r="C11" s="12" t="s">
        <v>10</v>
      </c>
      <c r="D11" s="13" t="s">
        <v>11</v>
      </c>
      <c r="E11" s="13" t="n">
        <v>24</v>
      </c>
      <c r="F11" s="14" t="n">
        <f aca="false">ROUND(Resumo!D7+Resumo!F7,2)</f>
        <v>114530.03</v>
      </c>
      <c r="G11" s="15" t="n">
        <f aca="false">F11*E11</f>
        <v>2748720.72</v>
      </c>
      <c r="I11" s="16"/>
    </row>
    <row r="12" customFormat="false" ht="42" hidden="false" customHeight="true" outlineLevel="0" collapsed="false">
      <c r="B12" s="17" t="s">
        <v>12</v>
      </c>
      <c r="C12" s="17"/>
      <c r="D12" s="17"/>
      <c r="E12" s="17"/>
      <c r="F12" s="17"/>
      <c r="G12" s="17"/>
    </row>
    <row r="14" customFormat="false" ht="13.5" hidden="false" customHeight="false" outlineLevel="0" collapsed="false"/>
    <row r="15" customFormat="false" ht="13.5" hidden="false" customHeight="false" outlineLevel="0" collapsed="false"/>
    <row r="65541" customFormat="false" ht="12.75" hidden="false" customHeight="true" outlineLevel="0" collapsed="false"/>
  </sheetData>
  <mergeCells count="6">
    <mergeCell ref="B2:G2"/>
    <mergeCell ref="B4:G4"/>
    <mergeCell ref="B6:G6"/>
    <mergeCell ref="B7:G7"/>
    <mergeCell ref="B8:G8"/>
    <mergeCell ref="B12:G12"/>
  </mergeCells>
  <printOptions headings="false" gridLines="false" gridLinesSet="true" horizontalCentered="true" verticalCentered="fals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K20"/>
  <sheetViews>
    <sheetView showFormulas="false" showGridLines="true" showRowColHeaders="true" showZeros="true" rightToLeft="false" tabSelected="false" showOutlineSymbols="true" defaultGridColor="true" view="normal" topLeftCell="E6" colorId="64" zoomScale="100" zoomScaleNormal="100" zoomScalePageLayoutView="100" workbookViewId="0">
      <selection pane="topLeft" activeCell="M19" activeCellId="0" sqref="M19"/>
    </sheetView>
  </sheetViews>
  <sheetFormatPr defaultColWidth="8.125" defaultRowHeight="12.75" zeroHeight="false" outlineLevelRow="0" outlineLevelCol="0"/>
  <cols>
    <col collapsed="false" customWidth="true" hidden="false" outlineLevel="0" max="1" min="1" style="198" width="5"/>
    <col collapsed="false" customWidth="true" hidden="false" outlineLevel="0" max="2" min="2" style="198" width="2.88"/>
    <col collapsed="false" customWidth="true" hidden="false" outlineLevel="0" max="3" min="3" style="198" width="11.75"/>
    <col collapsed="false" customWidth="true" hidden="false" outlineLevel="0" max="4" min="4" style="198" width="57.75"/>
    <col collapsed="false" customWidth="true" hidden="false" outlineLevel="0" max="5" min="5" style="198" width="28.88"/>
    <col collapsed="false" customWidth="true" hidden="false" outlineLevel="0" max="6" min="6" style="198" width="9.62"/>
    <col collapsed="false" customWidth="true" hidden="false" outlineLevel="0" max="7" min="7" style="198" width="13.25"/>
    <col collapsed="false" customWidth="true" hidden="false" outlineLevel="0" max="8" min="8" style="198" width="11.5"/>
    <col collapsed="false" customWidth="true" hidden="false" outlineLevel="0" max="9" min="9" style="198" width="13.5"/>
    <col collapsed="false" customWidth="true" hidden="false" outlineLevel="0" max="1026" min="10" style="198" width="8.25"/>
    <col collapsed="false" customWidth="false" hidden="false" outlineLevel="0" max="16384" min="1027" style="198" width="8.1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99" t="s">
        <v>196</v>
      </c>
      <c r="C2" s="199"/>
      <c r="D2" s="199"/>
      <c r="E2" s="199"/>
      <c r="F2" s="199"/>
      <c r="G2" s="199"/>
      <c r="H2" s="199"/>
      <c r="I2" s="199"/>
    </row>
    <row r="3" customFormat="false" ht="19.5" hidden="false" customHeight="true" outlineLevel="0" collapsed="false"/>
    <row r="4" customFormat="false" ht="16.5" hidden="false" customHeight="true" outlineLevel="0" collapsed="false">
      <c r="B4" s="200" t="s">
        <v>197</v>
      </c>
      <c r="C4" s="200"/>
      <c r="D4" s="200"/>
      <c r="E4" s="200"/>
      <c r="F4" s="200"/>
      <c r="G4" s="200"/>
      <c r="H4" s="200"/>
      <c r="I4" s="200"/>
    </row>
    <row r="5" customFormat="false" ht="16.5" hidden="false" customHeight="true" outlineLevel="0" collapsed="false">
      <c r="B5" s="201" t="s">
        <v>154</v>
      </c>
      <c r="C5" s="201"/>
      <c r="D5" s="202" t="n">
        <v>91677</v>
      </c>
      <c r="E5" s="202"/>
      <c r="F5" s="202"/>
      <c r="G5" s="202"/>
      <c r="H5" s="202"/>
      <c r="I5" s="202"/>
    </row>
    <row r="6" customFormat="false" ht="16.5" hidden="false" customHeight="true" outlineLevel="0" collapsed="false">
      <c r="B6" s="201" t="s">
        <v>118</v>
      </c>
      <c r="C6" s="201"/>
      <c r="D6" s="202" t="s">
        <v>198</v>
      </c>
      <c r="E6" s="202"/>
      <c r="F6" s="202"/>
      <c r="G6" s="202"/>
      <c r="H6" s="202"/>
      <c r="I6" s="202"/>
    </row>
    <row r="7" customFormat="false" ht="16.5" hidden="false" customHeight="true" outlineLevel="0" collapsed="false">
      <c r="B7" s="201" t="s">
        <v>157</v>
      </c>
      <c r="C7" s="201"/>
      <c r="D7" s="203" t="s">
        <v>158</v>
      </c>
      <c r="E7" s="203"/>
      <c r="F7" s="203"/>
      <c r="G7" s="203"/>
      <c r="H7" s="203"/>
      <c r="I7" s="203"/>
    </row>
    <row r="8" customFormat="false" ht="16.5" hidden="false" customHeight="true" outlineLevel="0" collapsed="false">
      <c r="B8" s="201" t="s">
        <v>159</v>
      </c>
      <c r="C8" s="201"/>
      <c r="D8" s="202" t="s">
        <v>181</v>
      </c>
      <c r="E8" s="202"/>
      <c r="F8" s="202"/>
      <c r="G8" s="202"/>
      <c r="H8" s="202"/>
      <c r="I8" s="202"/>
    </row>
    <row r="9" customFormat="false" ht="16.5" hidden="false" customHeight="true" outlineLevel="0" collapsed="false">
      <c r="B9" s="201" t="s">
        <v>161</v>
      </c>
      <c r="C9" s="201"/>
      <c r="D9" s="202" t="s">
        <v>199</v>
      </c>
      <c r="E9" s="202"/>
      <c r="F9" s="202"/>
      <c r="G9" s="202"/>
      <c r="H9" s="202"/>
      <c r="I9" s="202"/>
    </row>
    <row r="10" customFormat="false" ht="16.5" hidden="false" customHeight="true" outlineLevel="0" collapsed="false">
      <c r="B10" s="201" t="s">
        <v>119</v>
      </c>
      <c r="C10" s="201"/>
      <c r="D10" s="202" t="s">
        <v>169</v>
      </c>
      <c r="E10" s="202"/>
      <c r="F10" s="202"/>
      <c r="G10" s="202"/>
      <c r="H10" s="202"/>
      <c r="I10" s="202"/>
    </row>
    <row r="11" customFormat="false" ht="23.25" hidden="false" customHeight="true" outlineLevel="0" collapsed="false">
      <c r="B11" s="204" t="s">
        <v>163</v>
      </c>
      <c r="C11" s="204"/>
      <c r="D11" s="205" t="n">
        <f aca="false">SUM(I14:I19)</f>
        <v>154.024656</v>
      </c>
      <c r="E11" s="205"/>
      <c r="F11" s="205"/>
      <c r="G11" s="205"/>
      <c r="H11" s="205"/>
      <c r="I11" s="205"/>
    </row>
    <row r="12" customFormat="false" ht="15.75" hidden="false" customHeight="true" outlineLevel="0" collapsed="false">
      <c r="B12" s="206"/>
      <c r="C12" s="206"/>
      <c r="D12" s="207"/>
      <c r="E12" s="207"/>
      <c r="F12" s="207"/>
      <c r="G12" s="207"/>
      <c r="H12" s="207"/>
      <c r="I12" s="207"/>
    </row>
    <row r="13" customFormat="false" ht="30" hidden="false" customHeight="false" outlineLevel="0" collapsed="false">
      <c r="B13" s="208"/>
      <c r="C13" s="208" t="s">
        <v>164</v>
      </c>
      <c r="D13" s="208" t="s">
        <v>118</v>
      </c>
      <c r="E13" s="208" t="s">
        <v>161</v>
      </c>
      <c r="F13" s="208" t="s">
        <v>119</v>
      </c>
      <c r="G13" s="208" t="s">
        <v>200</v>
      </c>
      <c r="H13" s="208" t="s">
        <v>165</v>
      </c>
      <c r="I13" s="208" t="s">
        <v>163</v>
      </c>
    </row>
    <row r="14" customFormat="false" ht="19.5" hidden="false" customHeight="true" outlineLevel="0" collapsed="false">
      <c r="B14" s="209" t="s">
        <v>201</v>
      </c>
      <c r="C14" s="175" t="s">
        <v>202</v>
      </c>
      <c r="D14" s="175" t="s">
        <v>203</v>
      </c>
      <c r="E14" s="175" t="s">
        <v>204</v>
      </c>
      <c r="F14" s="175" t="s">
        <v>169</v>
      </c>
      <c r="G14" s="210" t="n">
        <v>2.45</v>
      </c>
      <c r="H14" s="211" t="n">
        <v>1</v>
      </c>
      <c r="I14" s="212" t="n">
        <f aca="false">G14*H14</f>
        <v>2.45</v>
      </c>
      <c r="J14" s="213"/>
      <c r="K14" s="213"/>
    </row>
    <row r="15" customFormat="false" ht="19.5" hidden="false" customHeight="true" outlineLevel="0" collapsed="false">
      <c r="B15" s="209" t="s">
        <v>201</v>
      </c>
      <c r="C15" s="209" t="s">
        <v>205</v>
      </c>
      <c r="D15" s="209" t="s">
        <v>183</v>
      </c>
      <c r="E15" s="209" t="s">
        <v>206</v>
      </c>
      <c r="F15" s="209" t="s">
        <v>169</v>
      </c>
      <c r="G15" s="211" t="n">
        <f aca="false">'Custo Eng. Eletricista'!C13</f>
        <v>149.284656</v>
      </c>
      <c r="H15" s="211" t="n">
        <v>1</v>
      </c>
      <c r="I15" s="212" t="n">
        <f aca="false">G15*H15</f>
        <v>149.284656</v>
      </c>
      <c r="J15" s="213"/>
      <c r="K15" s="213"/>
    </row>
    <row r="16" customFormat="false" ht="30" hidden="false" customHeight="true" outlineLevel="0" collapsed="false">
      <c r="B16" s="209" t="s">
        <v>201</v>
      </c>
      <c r="C16" s="209" t="s">
        <v>207</v>
      </c>
      <c r="D16" s="209" t="s">
        <v>208</v>
      </c>
      <c r="E16" s="209" t="s">
        <v>209</v>
      </c>
      <c r="F16" s="209" t="s">
        <v>169</v>
      </c>
      <c r="G16" s="211" t="n">
        <v>1.43</v>
      </c>
      <c r="H16" s="211" t="n">
        <v>1</v>
      </c>
      <c r="I16" s="212" t="n">
        <f aca="false">G16*H16</f>
        <v>1.43</v>
      </c>
      <c r="J16" s="213"/>
      <c r="K16" s="213"/>
    </row>
    <row r="17" customFormat="false" ht="30" hidden="false" customHeight="true" outlineLevel="0" collapsed="false">
      <c r="B17" s="209" t="s">
        <v>201</v>
      </c>
      <c r="C17" s="209" t="s">
        <v>210</v>
      </c>
      <c r="D17" s="209" t="s">
        <v>211</v>
      </c>
      <c r="E17" s="209" t="s">
        <v>212</v>
      </c>
      <c r="F17" s="209" t="s">
        <v>169</v>
      </c>
      <c r="G17" s="211" t="n">
        <v>0.08</v>
      </c>
      <c r="H17" s="211" t="n">
        <v>1</v>
      </c>
      <c r="I17" s="212" t="n">
        <f aca="false">G17*H17</f>
        <v>0.08</v>
      </c>
      <c r="J17" s="213"/>
      <c r="K17" s="213"/>
    </row>
    <row r="18" customFormat="false" ht="30" hidden="false" customHeight="true" outlineLevel="0" collapsed="false">
      <c r="B18" s="209" t="s">
        <v>201</v>
      </c>
      <c r="C18" s="209" t="s">
        <v>213</v>
      </c>
      <c r="D18" s="209" t="s">
        <v>214</v>
      </c>
      <c r="E18" s="209" t="s">
        <v>215</v>
      </c>
      <c r="F18" s="209" t="s">
        <v>169</v>
      </c>
      <c r="G18" s="211" t="n">
        <v>0.01</v>
      </c>
      <c r="H18" s="211" t="n">
        <v>1</v>
      </c>
      <c r="I18" s="212" t="n">
        <f aca="false">G18*H18</f>
        <v>0.01</v>
      </c>
      <c r="J18" s="213"/>
      <c r="K18" s="213"/>
    </row>
    <row r="19" customFormat="false" ht="30" hidden="false" customHeight="true" outlineLevel="0" collapsed="false">
      <c r="B19" s="209" t="s">
        <v>201</v>
      </c>
      <c r="C19" s="209" t="s">
        <v>216</v>
      </c>
      <c r="D19" s="209" t="s">
        <v>217</v>
      </c>
      <c r="E19" s="209" t="s">
        <v>215</v>
      </c>
      <c r="F19" s="209" t="s">
        <v>169</v>
      </c>
      <c r="G19" s="211" t="n">
        <v>0.77</v>
      </c>
      <c r="H19" s="211" t="n">
        <v>1</v>
      </c>
      <c r="I19" s="212" t="n">
        <f aca="false">G19*H19</f>
        <v>0.77</v>
      </c>
      <c r="J19" s="213"/>
      <c r="K19" s="213"/>
    </row>
    <row r="20" customFormat="false" ht="19.5" hidden="false" customHeight="true" outlineLevel="0" collapsed="false"/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E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3" activeCellId="0" sqref="B23"/>
    </sheetView>
  </sheetViews>
  <sheetFormatPr defaultColWidth="10.125" defaultRowHeight="12.75" zeroHeight="false" outlineLevelRow="0" outlineLevelCol="0"/>
  <cols>
    <col collapsed="false" customWidth="true" hidden="false" outlineLevel="0" max="1" min="1" style="181" width="5.62"/>
    <col collapsed="false" customWidth="true" hidden="false" outlineLevel="0" max="2" min="2" style="181" width="47.25"/>
    <col collapsed="false" customWidth="true" hidden="false" outlineLevel="0" max="3" min="3" style="181" width="37.12"/>
    <col collapsed="false" customWidth="true" hidden="false" outlineLevel="0" max="4" min="4" style="181" width="29.88"/>
    <col collapsed="false" customWidth="true" hidden="false" outlineLevel="0" max="5" min="5" style="181" width="14.25"/>
    <col collapsed="false" customWidth="false" hidden="false" outlineLevel="0" max="16384" min="6" style="181" width="10.12"/>
  </cols>
  <sheetData>
    <row r="1" customFormat="false" ht="15" hidden="false" customHeight="true" outlineLevel="0" collapsed="false"/>
    <row r="2" customFormat="false" ht="12.75" hidden="false" customHeight="false" outlineLevel="0" collapsed="false">
      <c r="C2" s="214" t="s">
        <v>181</v>
      </c>
    </row>
    <row r="3" customFormat="false" ht="12.75" hidden="false" customHeight="false" outlineLevel="0" collapsed="false">
      <c r="B3" s="183" t="s">
        <v>218</v>
      </c>
      <c r="C3" s="214" t="s">
        <v>219</v>
      </c>
    </row>
    <row r="4" customFormat="false" ht="15" hidden="false" customHeight="false" outlineLevel="0" collapsed="false">
      <c r="B4" s="183" t="s">
        <v>220</v>
      </c>
      <c r="C4" s="215" t="s">
        <v>221</v>
      </c>
    </row>
    <row r="5" customFormat="false" ht="14.25" hidden="false" customHeight="false" outlineLevel="0" collapsed="false">
      <c r="B5" s="183" t="s">
        <v>186</v>
      </c>
      <c r="C5" s="215" t="n">
        <v>45444</v>
      </c>
    </row>
    <row r="6" customFormat="false" ht="25.5" hidden="false" customHeight="false" outlineLevel="0" collapsed="false">
      <c r="B6" s="183" t="s">
        <v>222</v>
      </c>
      <c r="C6" s="184" t="s">
        <v>223</v>
      </c>
    </row>
    <row r="7" customFormat="false" ht="12.75" hidden="false" customHeight="false" outlineLevel="0" collapsed="false">
      <c r="B7" s="183" t="s">
        <v>224</v>
      </c>
      <c r="C7" s="185" t="n">
        <v>2228.6</v>
      </c>
    </row>
    <row r="8" customFormat="false" ht="12.75" hidden="false" customHeight="false" outlineLevel="0" collapsed="false">
      <c r="B8" s="216"/>
      <c r="C8" s="217"/>
    </row>
    <row r="9" customFormat="false" ht="25.5" hidden="false" customHeight="false" outlineLevel="0" collapsed="false">
      <c r="B9" s="188" t="s">
        <v>225</v>
      </c>
      <c r="C9" s="183"/>
    </row>
    <row r="10" customFormat="false" ht="13.5" hidden="false" customHeight="false" outlineLevel="0" collapsed="false">
      <c r="B10" s="183" t="s">
        <v>190</v>
      </c>
      <c r="C10" s="190" t="n">
        <v>0.9022</v>
      </c>
    </row>
    <row r="11" customFormat="false" ht="13.5" hidden="false" customHeight="false" outlineLevel="0" collapsed="false">
      <c r="B11" s="183" t="s">
        <v>226</v>
      </c>
      <c r="C11" s="190" t="n">
        <v>0.5186</v>
      </c>
    </row>
    <row r="12" customFormat="false" ht="13.5" hidden="false" customHeight="false" outlineLevel="0" collapsed="false">
      <c r="B12" s="183" t="s">
        <v>191</v>
      </c>
      <c r="C12" s="190" t="n">
        <v>1.1284</v>
      </c>
    </row>
    <row r="13" customFormat="false" ht="13.5" hidden="false" customHeight="false" outlineLevel="0" collapsed="false">
      <c r="B13" s="183" t="s">
        <v>227</v>
      </c>
      <c r="C13" s="190" t="n">
        <v>0.6995</v>
      </c>
    </row>
    <row r="14" customFormat="false" ht="13.5" hidden="false" customHeight="true" outlineLevel="0" collapsed="false">
      <c r="B14" s="216"/>
      <c r="C14" s="216"/>
    </row>
    <row r="15" customFormat="false" ht="12.75" hidden="false" customHeight="false" outlineLevel="0" collapsed="false">
      <c r="B15" s="191" t="s">
        <v>228</v>
      </c>
      <c r="C15" s="192"/>
    </row>
    <row r="16" customFormat="false" ht="15.75" hidden="false" customHeight="false" outlineLevel="0" collapsed="false">
      <c r="B16" s="193" t="s">
        <v>229</v>
      </c>
      <c r="C16" s="192" t="n">
        <f aca="false">C7*(1+C11)</f>
        <v>3384.35196</v>
      </c>
      <c r="D16" s="218"/>
      <c r="E16" s="218"/>
    </row>
    <row r="17" customFormat="false" ht="15.75" hidden="false" customHeight="false" outlineLevel="0" collapsed="false">
      <c r="B17" s="193" t="s">
        <v>230</v>
      </c>
      <c r="C17" s="192" t="n">
        <f aca="false">C7*(1+C13)</f>
        <v>3787.5057</v>
      </c>
      <c r="D17" s="218"/>
      <c r="E17" s="218"/>
    </row>
    <row r="18" customFormat="false" ht="15.75" hidden="false" customHeight="false" outlineLevel="0" collapsed="false">
      <c r="B18" s="193" t="s">
        <v>231</v>
      </c>
      <c r="C18" s="219" t="n">
        <f aca="false">C16*(1+C10)/(220*(1+C11))</f>
        <v>19.269286</v>
      </c>
      <c r="D18" s="220"/>
      <c r="E18" s="218"/>
    </row>
    <row r="19" customFormat="false" ht="15.75" hidden="false" customHeight="false" outlineLevel="0" collapsed="false">
      <c r="B19" s="193" t="s">
        <v>232</v>
      </c>
      <c r="C19" s="219" t="n">
        <f aca="false">(C17*(1+C12)/(220*(1+C13)))</f>
        <v>21.560692</v>
      </c>
      <c r="D19" s="220"/>
      <c r="E19" s="218"/>
    </row>
    <row r="21" customFormat="false" ht="12.75" hidden="false" customHeight="false" outlineLevel="0" collapsed="false">
      <c r="B21" s="181" t="s">
        <v>233</v>
      </c>
    </row>
    <row r="22" customFormat="false" ht="69.75" hidden="false" customHeight="true" outlineLevel="0" collapsed="false"/>
    <row r="23" customFormat="false" ht="34.5" hidden="false" customHeight="true" outlineLevel="0" collapsed="false">
      <c r="B23" s="197" t="s">
        <v>195</v>
      </c>
      <c r="C23" s="197"/>
    </row>
    <row r="24" customFormat="false" ht="33.75" hidden="false" customHeight="true" outlineLevel="0" collapsed="false">
      <c r="B24" s="197" t="s">
        <v>234</v>
      </c>
      <c r="C24" s="197"/>
    </row>
    <row r="25" customFormat="false" ht="30" hidden="false" customHeight="true" outlineLevel="0" collapsed="false">
      <c r="B25" s="197" t="s">
        <v>235</v>
      </c>
      <c r="C25" s="197"/>
    </row>
  </sheetData>
  <mergeCells count="3">
    <mergeCell ref="B23:C23"/>
    <mergeCell ref="B24:C24"/>
    <mergeCell ref="B25:C25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&amp;CPágina &amp;P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K22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G15" activeCellId="0" sqref="G15"/>
    </sheetView>
  </sheetViews>
  <sheetFormatPr defaultColWidth="8.125" defaultRowHeight="12.75" zeroHeight="false" outlineLevelRow="0" outlineLevelCol="0"/>
  <cols>
    <col collapsed="false" customWidth="true" hidden="false" outlineLevel="0" max="1" min="1" style="198" width="5.62"/>
    <col collapsed="false" customWidth="true" hidden="false" outlineLevel="0" max="2" min="2" style="198" width="2.88"/>
    <col collapsed="false" customWidth="true" hidden="false" outlineLevel="0" max="3" min="3" style="198" width="11.75"/>
    <col collapsed="false" customWidth="true" hidden="false" outlineLevel="0" max="4" min="4" style="198" width="57.75"/>
    <col collapsed="false" customWidth="true" hidden="false" outlineLevel="0" max="5" min="5" style="198" width="28.88"/>
    <col collapsed="false" customWidth="true" hidden="false" outlineLevel="0" max="6" min="6" style="198" width="9.62"/>
    <col collapsed="false" customWidth="true" hidden="false" outlineLevel="0" max="7" min="7" style="198" width="13.25"/>
    <col collapsed="false" customWidth="true" hidden="false" outlineLevel="0" max="8" min="8" style="198" width="11.5"/>
    <col collapsed="false" customWidth="true" hidden="false" outlineLevel="0" max="9" min="9" style="198" width="13.5"/>
    <col collapsed="false" customWidth="true" hidden="false" outlineLevel="0" max="1026" min="10" style="198" width="8.25"/>
    <col collapsed="false" customWidth="false" hidden="false" outlineLevel="0" max="16384" min="1027" style="198" width="8.1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99" t="s">
        <v>236</v>
      </c>
      <c r="C2" s="199"/>
      <c r="D2" s="199"/>
      <c r="E2" s="199"/>
      <c r="F2" s="199"/>
      <c r="G2" s="199"/>
      <c r="H2" s="199"/>
      <c r="I2" s="199"/>
    </row>
    <row r="3" customFormat="false" ht="21" hidden="false" customHeight="true" outlineLevel="0" collapsed="false"/>
    <row r="4" customFormat="false" ht="16.5" hidden="false" customHeight="true" outlineLevel="0" collapsed="false">
      <c r="B4" s="200" t="s">
        <v>237</v>
      </c>
      <c r="C4" s="200"/>
      <c r="D4" s="200"/>
      <c r="E4" s="200"/>
      <c r="F4" s="200"/>
      <c r="G4" s="200"/>
      <c r="H4" s="200"/>
      <c r="I4" s="200"/>
    </row>
    <row r="5" customFormat="false" ht="16.5" hidden="false" customHeight="true" outlineLevel="0" collapsed="false">
      <c r="B5" s="201" t="s">
        <v>154</v>
      </c>
      <c r="C5" s="201"/>
      <c r="D5" s="202" t="n">
        <v>88264</v>
      </c>
      <c r="E5" s="202"/>
      <c r="F5" s="202"/>
      <c r="G5" s="202"/>
      <c r="H5" s="202"/>
      <c r="I5" s="202"/>
    </row>
    <row r="6" customFormat="false" ht="16.5" hidden="false" customHeight="true" outlineLevel="0" collapsed="false">
      <c r="B6" s="201" t="s">
        <v>118</v>
      </c>
      <c r="C6" s="201"/>
      <c r="D6" s="202" t="s">
        <v>238</v>
      </c>
      <c r="E6" s="202"/>
      <c r="F6" s="202"/>
      <c r="G6" s="202"/>
      <c r="H6" s="202"/>
      <c r="I6" s="202"/>
    </row>
    <row r="7" customFormat="false" ht="16.5" hidden="false" customHeight="true" outlineLevel="0" collapsed="false">
      <c r="B7" s="201" t="s">
        <v>157</v>
      </c>
      <c r="C7" s="201"/>
      <c r="D7" s="221" t="s">
        <v>158</v>
      </c>
      <c r="E7" s="221"/>
      <c r="F7" s="221"/>
      <c r="G7" s="221"/>
      <c r="H7" s="221"/>
      <c r="I7" s="221"/>
    </row>
    <row r="8" customFormat="false" ht="16.5" hidden="false" customHeight="true" outlineLevel="0" collapsed="false">
      <c r="B8" s="201" t="s">
        <v>159</v>
      </c>
      <c r="C8" s="201"/>
      <c r="D8" s="202" t="s">
        <v>181</v>
      </c>
      <c r="E8" s="202"/>
      <c r="F8" s="202"/>
      <c r="G8" s="202"/>
      <c r="H8" s="202"/>
      <c r="I8" s="202"/>
    </row>
    <row r="9" customFormat="false" ht="16.5" hidden="false" customHeight="true" outlineLevel="0" collapsed="false">
      <c r="B9" s="201" t="s">
        <v>161</v>
      </c>
      <c r="C9" s="201"/>
      <c r="D9" s="202" t="s">
        <v>199</v>
      </c>
      <c r="E9" s="202"/>
      <c r="F9" s="202"/>
      <c r="G9" s="202"/>
      <c r="H9" s="202"/>
      <c r="I9" s="202"/>
    </row>
    <row r="10" customFormat="false" ht="16.5" hidden="false" customHeight="true" outlineLevel="0" collapsed="false">
      <c r="B10" s="201" t="s">
        <v>119</v>
      </c>
      <c r="C10" s="201"/>
      <c r="D10" s="202" t="s">
        <v>169</v>
      </c>
      <c r="E10" s="202"/>
      <c r="F10" s="202"/>
      <c r="G10" s="202"/>
      <c r="H10" s="202"/>
      <c r="I10" s="202"/>
    </row>
    <row r="11" customFormat="false" ht="23.25" hidden="false" customHeight="true" outlineLevel="0" collapsed="false">
      <c r="B11" s="204" t="s">
        <v>163</v>
      </c>
      <c r="C11" s="204"/>
      <c r="D11" s="205" t="n">
        <f aca="false">SUM(I14:I22)</f>
        <v>26.519286</v>
      </c>
      <c r="E11" s="205"/>
      <c r="F11" s="205"/>
      <c r="G11" s="205"/>
      <c r="H11" s="205"/>
      <c r="I11" s="205"/>
    </row>
    <row r="12" customFormat="false" ht="15.75" hidden="false" customHeight="true" outlineLevel="0" collapsed="false">
      <c r="B12" s="206"/>
      <c r="C12" s="206"/>
      <c r="D12" s="207"/>
      <c r="E12" s="207"/>
      <c r="F12" s="207"/>
      <c r="G12" s="207"/>
      <c r="H12" s="207"/>
      <c r="I12" s="207"/>
    </row>
    <row r="13" customFormat="false" ht="30" hidden="false" customHeight="false" outlineLevel="0" collapsed="false">
      <c r="B13" s="208"/>
      <c r="C13" s="208" t="s">
        <v>164</v>
      </c>
      <c r="D13" s="208" t="s">
        <v>118</v>
      </c>
      <c r="E13" s="208" t="s">
        <v>161</v>
      </c>
      <c r="F13" s="208" t="s">
        <v>119</v>
      </c>
      <c r="G13" s="208" t="s">
        <v>200</v>
      </c>
      <c r="H13" s="208" t="s">
        <v>165</v>
      </c>
      <c r="I13" s="208" t="s">
        <v>163</v>
      </c>
    </row>
    <row r="14" customFormat="false" ht="27.75" hidden="false" customHeight="true" outlineLevel="0" collapsed="false">
      <c r="B14" s="209" t="s">
        <v>166</v>
      </c>
      <c r="C14" s="209" t="n">
        <v>95332</v>
      </c>
      <c r="D14" s="209" t="s">
        <v>239</v>
      </c>
      <c r="E14" s="209" t="s">
        <v>199</v>
      </c>
      <c r="F14" s="209" t="s">
        <v>169</v>
      </c>
      <c r="G14" s="222" t="n">
        <v>0.85</v>
      </c>
      <c r="H14" s="211" t="n">
        <v>1</v>
      </c>
      <c r="I14" s="212" t="n">
        <f aca="false">G14*H14</f>
        <v>0.85</v>
      </c>
      <c r="J14" s="213"/>
      <c r="K14" s="213"/>
    </row>
    <row r="15" customFormat="false" ht="32.25" hidden="false" customHeight="true" outlineLevel="0" collapsed="false">
      <c r="B15" s="209" t="s">
        <v>201</v>
      </c>
      <c r="C15" s="209" t="s">
        <v>240</v>
      </c>
      <c r="D15" s="209" t="s">
        <v>241</v>
      </c>
      <c r="E15" s="209" t="s">
        <v>206</v>
      </c>
      <c r="F15" s="209" t="s">
        <v>169</v>
      </c>
      <c r="G15" s="222" t="n">
        <f aca="false">'Custo Oficial de Manutenção'!C18</f>
        <v>19.269286</v>
      </c>
      <c r="H15" s="211" t="n">
        <v>1</v>
      </c>
      <c r="I15" s="212" t="n">
        <f aca="false">G15*H15</f>
        <v>19.269286</v>
      </c>
      <c r="J15" s="213"/>
      <c r="K15" s="213"/>
    </row>
    <row r="16" customFormat="false" ht="42" hidden="false" customHeight="true" outlineLevel="0" collapsed="false">
      <c r="B16" s="209" t="s">
        <v>201</v>
      </c>
      <c r="C16" s="209" t="n">
        <v>37370</v>
      </c>
      <c r="D16" s="209" t="s">
        <v>242</v>
      </c>
      <c r="E16" s="209" t="s">
        <v>209</v>
      </c>
      <c r="F16" s="209" t="s">
        <v>169</v>
      </c>
      <c r="G16" s="222" t="n">
        <v>1.46</v>
      </c>
      <c r="H16" s="211" t="n">
        <v>1</v>
      </c>
      <c r="I16" s="212" t="n">
        <f aca="false">G16*H16</f>
        <v>1.46</v>
      </c>
      <c r="J16" s="213"/>
      <c r="K16" s="213"/>
    </row>
    <row r="17" customFormat="false" ht="27.75" hidden="false" customHeight="true" outlineLevel="0" collapsed="false">
      <c r="B17" s="209" t="s">
        <v>201</v>
      </c>
      <c r="C17" s="209" t="n">
        <v>37371</v>
      </c>
      <c r="D17" s="209" t="s">
        <v>243</v>
      </c>
      <c r="E17" s="209" t="s">
        <v>244</v>
      </c>
      <c r="F17" s="209" t="s">
        <v>169</v>
      </c>
      <c r="G17" s="222" t="n">
        <v>1</v>
      </c>
      <c r="H17" s="211" t="n">
        <v>1</v>
      </c>
      <c r="I17" s="212" t="n">
        <f aca="false">G17*H17</f>
        <v>1</v>
      </c>
      <c r="J17" s="213"/>
      <c r="K17" s="213"/>
    </row>
    <row r="18" customFormat="false" ht="42" hidden="false" customHeight="true" outlineLevel="0" collapsed="false">
      <c r="B18" s="209" t="s">
        <v>201</v>
      </c>
      <c r="C18" s="209" t="n">
        <v>37372</v>
      </c>
      <c r="D18" s="209" t="s">
        <v>208</v>
      </c>
      <c r="E18" s="209" t="s">
        <v>209</v>
      </c>
      <c r="F18" s="209" t="s">
        <v>169</v>
      </c>
      <c r="G18" s="222" t="n">
        <v>1.43</v>
      </c>
      <c r="H18" s="211" t="n">
        <v>1</v>
      </c>
      <c r="I18" s="212" t="n">
        <f aca="false">G18*H18</f>
        <v>1.43</v>
      </c>
      <c r="J18" s="213"/>
      <c r="K18" s="213"/>
    </row>
    <row r="19" customFormat="false" ht="27.75" hidden="false" customHeight="true" outlineLevel="0" collapsed="false">
      <c r="B19" s="209" t="s">
        <v>201</v>
      </c>
      <c r="C19" s="209" t="n">
        <v>37373</v>
      </c>
      <c r="D19" s="209" t="s">
        <v>211</v>
      </c>
      <c r="E19" s="209" t="s">
        <v>212</v>
      </c>
      <c r="F19" s="209" t="s">
        <v>169</v>
      </c>
      <c r="G19" s="222" t="n">
        <v>0.08</v>
      </c>
      <c r="H19" s="211" t="n">
        <v>1</v>
      </c>
      <c r="I19" s="212" t="n">
        <f aca="false">G19*H19</f>
        <v>0.08</v>
      </c>
      <c r="J19" s="213"/>
      <c r="K19" s="213"/>
    </row>
    <row r="20" customFormat="false" ht="27.75" hidden="false" customHeight="true" outlineLevel="0" collapsed="false">
      <c r="B20" s="209" t="s">
        <v>201</v>
      </c>
      <c r="C20" s="209" t="n">
        <v>43460</v>
      </c>
      <c r="D20" s="209" t="s">
        <v>245</v>
      </c>
      <c r="E20" s="209" t="s">
        <v>215</v>
      </c>
      <c r="F20" s="209" t="s">
        <v>169</v>
      </c>
      <c r="G20" s="222" t="n">
        <v>0.86</v>
      </c>
      <c r="H20" s="211" t="n">
        <v>1</v>
      </c>
      <c r="I20" s="212" t="n">
        <f aca="false">G20*H20</f>
        <v>0.86</v>
      </c>
      <c r="J20" s="213"/>
      <c r="K20" s="213"/>
    </row>
    <row r="21" customFormat="false" ht="29.25" hidden="false" customHeight="true" outlineLevel="0" collapsed="false">
      <c r="B21" s="223" t="s">
        <v>201</v>
      </c>
      <c r="C21" s="223" t="n">
        <v>43461</v>
      </c>
      <c r="D21" s="223" t="s">
        <v>246</v>
      </c>
      <c r="E21" s="223" t="s">
        <v>215</v>
      </c>
      <c r="F21" s="223" t="s">
        <v>169</v>
      </c>
      <c r="G21" s="224" t="n">
        <v>0.31</v>
      </c>
      <c r="H21" s="225" t="n">
        <v>1</v>
      </c>
      <c r="I21" s="226" t="n">
        <f aca="false">G21*H21</f>
        <v>0.31</v>
      </c>
      <c r="J21" s="213"/>
      <c r="K21" s="213"/>
    </row>
    <row r="22" customFormat="false" ht="27.75" hidden="false" customHeight="true" outlineLevel="0" collapsed="false">
      <c r="B22" s="209" t="s">
        <v>201</v>
      </c>
      <c r="C22" s="209" t="n">
        <v>43484</v>
      </c>
      <c r="D22" s="209" t="s">
        <v>247</v>
      </c>
      <c r="E22" s="209" t="s">
        <v>215</v>
      </c>
      <c r="F22" s="209" t="s">
        <v>169</v>
      </c>
      <c r="G22" s="222" t="n">
        <v>1.26</v>
      </c>
      <c r="H22" s="211" t="n">
        <v>1</v>
      </c>
      <c r="I22" s="212" t="n">
        <f aca="false">G22*H22</f>
        <v>1.26</v>
      </c>
      <c r="J22" s="213"/>
      <c r="K22" s="213"/>
    </row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A1:AMJ1048576"/>
  <sheetViews>
    <sheetView showFormulas="false" showGridLines="false" showRowColHeaders="true" showZeros="true" rightToLeft="false" tabSelected="false" showOutlineSymbols="true" defaultGridColor="true" view="normal" topLeftCell="B16" colorId="64" zoomScale="100" zoomScaleNormal="100" zoomScalePageLayoutView="100" workbookViewId="0">
      <selection pane="topLeft" activeCell="F30" activeCellId="0" sqref="F30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8" width="15.5"/>
    <col collapsed="false" customWidth="true" hidden="false" outlineLevel="0" max="3" min="3" style="19" width="16.26"/>
    <col collapsed="false" customWidth="true" hidden="false" outlineLevel="0" max="4" min="4" style="18" width="31.88"/>
    <col collapsed="false" customWidth="true" hidden="false" outlineLevel="0" max="5" min="5" style="18" width="36.88"/>
    <col collapsed="false" customWidth="true" hidden="false" outlineLevel="0" max="6" min="6" style="19" width="15.26"/>
    <col collapsed="false" customWidth="true" hidden="false" outlineLevel="0" max="7" min="7" style="18" width="9"/>
    <col collapsed="false" customWidth="true" hidden="false" outlineLevel="0" max="8" min="8" style="18" width="9.12"/>
    <col collapsed="false" customWidth="true" hidden="false" outlineLevel="0" max="9" min="9" style="18" width="12"/>
    <col collapsed="false" customWidth="true" hidden="false" outlineLevel="0" max="11" min="10" style="18" width="11.25"/>
    <col collapsed="false" customWidth="true" hidden="false" outlineLevel="0" max="12" min="12" style="18" width="10.38"/>
    <col collapsed="false" customWidth="true" hidden="false" outlineLevel="0" max="13" min="13" style="18" width="10.5"/>
    <col collapsed="false" customWidth="true" hidden="false" outlineLevel="0" max="14" min="14" style="18" width="12.5"/>
    <col collapsed="false" customWidth="true" hidden="false" outlineLevel="0" max="259" min="15" style="18" width="10.5"/>
    <col collapsed="false" customWidth="true" hidden="false" outlineLevel="0" max="1024" min="260" style="1" width="10.38"/>
  </cols>
  <sheetData>
    <row r="1" customFormat="false" ht="15" hidden="false" customHeight="true" outlineLevel="0" collapsed="false"/>
    <row r="2" s="227" customFormat="true" ht="29.25" hidden="false" customHeight="true" outlineLevel="0" collapsed="false">
      <c r="B2" s="228" t="str">
        <f aca="false">"RELAÇÃO DE UNIDADES DO "&amp;'Valor da Contratação'!B7&amp;""</f>
        <v>RELAÇÃO DE UNIDADES DO POLO VIII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</row>
    <row r="3" s="18" customFormat="true" ht="15" hidden="false" customHeight="true" outlineLevel="0" collapsed="false"/>
    <row r="4" customFormat="false" ht="66.75" hidden="false" customHeight="true" outlineLevel="0" collapsed="false">
      <c r="B4" s="34" t="s">
        <v>248</v>
      </c>
      <c r="C4" s="34" t="s">
        <v>13</v>
      </c>
      <c r="D4" s="34" t="s">
        <v>41</v>
      </c>
      <c r="E4" s="34" t="s">
        <v>249</v>
      </c>
      <c r="F4" s="34" t="s">
        <v>250</v>
      </c>
      <c r="G4" s="34" t="s">
        <v>251</v>
      </c>
      <c r="H4" s="34" t="s">
        <v>71</v>
      </c>
      <c r="I4" s="34" t="s">
        <v>252</v>
      </c>
      <c r="J4" s="34" t="s">
        <v>253</v>
      </c>
      <c r="K4" s="34" t="s">
        <v>254</v>
      </c>
      <c r="L4" s="34" t="s">
        <v>255</v>
      </c>
      <c r="M4" s="34" t="s">
        <v>256</v>
      </c>
      <c r="N4" s="34" t="s">
        <v>257</v>
      </c>
    </row>
    <row r="5" customFormat="false" ht="18" hidden="false" customHeight="true" outlineLevel="0" collapsed="false">
      <c r="B5" s="229" t="s">
        <v>21</v>
      </c>
      <c r="C5" s="229" t="s">
        <v>21</v>
      </c>
      <c r="D5" s="230" t="s">
        <v>90</v>
      </c>
      <c r="E5" s="231" t="s">
        <v>258</v>
      </c>
      <c r="F5" s="67" t="n">
        <f aca="false">(46*2)/60</f>
        <v>1.53333333333333</v>
      </c>
      <c r="G5" s="232" t="n">
        <v>0.03</v>
      </c>
      <c r="H5" s="232" t="n">
        <f aca="false">HLOOKUP(G5,BDI!$D$19:$J$30,12,)</f>
        <v>0.2849</v>
      </c>
      <c r="I5" s="233" t="n">
        <v>1960.04</v>
      </c>
      <c r="J5" s="233" t="n">
        <v>980.02</v>
      </c>
      <c r="K5" s="233" t="n">
        <v>980.02</v>
      </c>
      <c r="L5" s="233" t="n">
        <v>0</v>
      </c>
      <c r="M5" s="233" t="s">
        <v>259</v>
      </c>
      <c r="N5" s="233" t="s">
        <v>259</v>
      </c>
    </row>
    <row r="6" customFormat="false" ht="18" hidden="false" customHeight="true" outlineLevel="0" collapsed="false">
      <c r="B6" s="229" t="s">
        <v>21</v>
      </c>
      <c r="C6" s="229" t="s">
        <v>21</v>
      </c>
      <c r="D6" s="230" t="s">
        <v>93</v>
      </c>
      <c r="E6" s="231" t="s">
        <v>260</v>
      </c>
      <c r="F6" s="67" t="n">
        <f aca="false">(90*2)/60</f>
        <v>3</v>
      </c>
      <c r="G6" s="232" t="n">
        <v>0.03</v>
      </c>
      <c r="H6" s="232" t="n">
        <f aca="false">HLOOKUP(G6,BDI!$D$19:$J$30,12,)</f>
        <v>0.2849</v>
      </c>
      <c r="I6" s="233" t="n">
        <v>1354.16</v>
      </c>
      <c r="J6" s="233" t="n">
        <v>771.34</v>
      </c>
      <c r="K6" s="233" t="n">
        <v>241.24</v>
      </c>
      <c r="L6" s="233" t="n">
        <v>341.58</v>
      </c>
      <c r="M6" s="233" t="s">
        <v>259</v>
      </c>
      <c r="N6" s="233" t="s">
        <v>261</v>
      </c>
    </row>
    <row r="7" customFormat="false" ht="18" hidden="false" customHeight="true" outlineLevel="0" collapsed="false">
      <c r="B7" s="229" t="s">
        <v>21</v>
      </c>
      <c r="C7" s="229" t="s">
        <v>21</v>
      </c>
      <c r="D7" s="230" t="s">
        <v>87</v>
      </c>
      <c r="E7" s="234" t="s">
        <v>262</v>
      </c>
      <c r="F7" s="67" t="n">
        <f aca="false">(54*2)/60</f>
        <v>1.8</v>
      </c>
      <c r="G7" s="232" t="n">
        <v>0.05</v>
      </c>
      <c r="H7" s="232" t="n">
        <f aca="false">HLOOKUP(G7,BDI!$D$19:$J$30,12,)</f>
        <v>0.3142</v>
      </c>
      <c r="I7" s="233" t="n">
        <v>334.4</v>
      </c>
      <c r="J7" s="233" t="n">
        <v>296</v>
      </c>
      <c r="K7" s="233" t="n">
        <v>38.4</v>
      </c>
      <c r="L7" s="233" t="n">
        <v>0</v>
      </c>
      <c r="M7" s="233" t="s">
        <v>259</v>
      </c>
      <c r="N7" s="233" t="s">
        <v>259</v>
      </c>
    </row>
    <row r="8" customFormat="false" ht="18" hidden="false" customHeight="true" outlineLevel="0" collapsed="false">
      <c r="B8" s="229" t="s">
        <v>21</v>
      </c>
      <c r="C8" s="229" t="s">
        <v>21</v>
      </c>
      <c r="D8" s="230" t="s">
        <v>92</v>
      </c>
      <c r="E8" s="234" t="s">
        <v>263</v>
      </c>
      <c r="F8" s="67" t="n">
        <f aca="false">(26*2)/60</f>
        <v>0.866666666666667</v>
      </c>
      <c r="G8" s="232" t="n">
        <v>0.02</v>
      </c>
      <c r="H8" s="232" t="n">
        <f aca="false">HLOOKUP(G8,BDI!$D$19:$J$30,12,)</f>
        <v>0.2707</v>
      </c>
      <c r="I8" s="233" t="n">
        <v>617.87</v>
      </c>
      <c r="J8" s="233" t="n">
        <v>420.59</v>
      </c>
      <c r="K8" s="233" t="n">
        <v>197.28</v>
      </c>
      <c r="L8" s="233" t="n">
        <v>0</v>
      </c>
      <c r="M8" s="233" t="s">
        <v>259</v>
      </c>
      <c r="N8" s="233" t="s">
        <v>259</v>
      </c>
    </row>
    <row r="9" customFormat="false" ht="18" hidden="false" customHeight="true" outlineLevel="0" collapsed="false">
      <c r="B9" s="229" t="s">
        <v>21</v>
      </c>
      <c r="C9" s="229" t="s">
        <v>21</v>
      </c>
      <c r="D9" s="230" t="s">
        <v>86</v>
      </c>
      <c r="E9" s="231" t="s">
        <v>264</v>
      </c>
      <c r="F9" s="67" t="n">
        <f aca="false">(22*2)/60</f>
        <v>0.733333333333333</v>
      </c>
      <c r="G9" s="232" t="n">
        <v>0.02</v>
      </c>
      <c r="H9" s="232" t="n">
        <f aca="false">HLOOKUP(G9,BDI!$D$19:$J$30,12,)</f>
        <v>0.2707</v>
      </c>
      <c r="I9" s="233" t="n">
        <v>334.4</v>
      </c>
      <c r="J9" s="233" t="n">
        <v>296</v>
      </c>
      <c r="K9" s="233" t="n">
        <v>38.4</v>
      </c>
      <c r="L9" s="233" t="n">
        <v>0</v>
      </c>
      <c r="M9" s="233" t="s">
        <v>259</v>
      </c>
      <c r="N9" s="233" t="s">
        <v>259</v>
      </c>
    </row>
    <row r="10" customFormat="false" ht="18" hidden="false" customHeight="true" outlineLevel="0" collapsed="false">
      <c r="B10" s="229" t="s">
        <v>21</v>
      </c>
      <c r="C10" s="229" t="s">
        <v>21</v>
      </c>
      <c r="D10" s="230" t="s">
        <v>89</v>
      </c>
      <c r="E10" s="231" t="s">
        <v>265</v>
      </c>
      <c r="F10" s="67" t="n">
        <f aca="false">(45*2)/60</f>
        <v>1.5</v>
      </c>
      <c r="G10" s="232" t="n">
        <v>0.03</v>
      </c>
      <c r="H10" s="232" t="n">
        <f aca="false">HLOOKUP(G10,BDI!$D$19:$J$30,12,)</f>
        <v>0.2849</v>
      </c>
      <c r="I10" s="233" t="n">
        <v>840.61</v>
      </c>
      <c r="J10" s="233" t="n">
        <v>399.63</v>
      </c>
      <c r="K10" s="233" t="n">
        <v>166.29</v>
      </c>
      <c r="L10" s="233" t="n">
        <v>274.69</v>
      </c>
      <c r="M10" s="233" t="s">
        <v>259</v>
      </c>
      <c r="N10" s="233" t="s">
        <v>259</v>
      </c>
    </row>
    <row r="11" customFormat="false" ht="18" hidden="false" customHeight="true" outlineLevel="0" collapsed="false">
      <c r="B11" s="229" t="s">
        <v>21</v>
      </c>
      <c r="C11" s="229" t="s">
        <v>21</v>
      </c>
      <c r="D11" s="230" t="s">
        <v>85</v>
      </c>
      <c r="E11" s="231" t="s">
        <v>266</v>
      </c>
      <c r="F11" s="67" t="n">
        <f aca="false">(2*2)/60</f>
        <v>0.0666666666666667</v>
      </c>
      <c r="G11" s="232" t="n">
        <v>0.04</v>
      </c>
      <c r="H11" s="232" t="n">
        <f aca="false">HLOOKUP(G11,BDI!$D$19:$J$30,12,)</f>
        <v>0.2994</v>
      </c>
      <c r="I11" s="233" t="n">
        <v>226.81</v>
      </c>
      <c r="J11" s="233" t="n">
        <v>0</v>
      </c>
      <c r="K11" s="233" t="n">
        <v>0</v>
      </c>
      <c r="L11" s="233" t="n">
        <v>226.81</v>
      </c>
      <c r="M11" s="233" t="s">
        <v>259</v>
      </c>
      <c r="N11" s="233" t="s">
        <v>259</v>
      </c>
    </row>
    <row r="12" s="235" customFormat="true" ht="18" hidden="false" customHeight="true" outlineLevel="0" collapsed="false">
      <c r="B12" s="229" t="s">
        <v>21</v>
      </c>
      <c r="C12" s="229" t="s">
        <v>21</v>
      </c>
      <c r="D12" s="230" t="s">
        <v>83</v>
      </c>
      <c r="E12" s="231" t="s">
        <v>267</v>
      </c>
      <c r="F12" s="67" t="n">
        <f aca="false">(6*2)/60</f>
        <v>0.2</v>
      </c>
      <c r="G12" s="232" t="n">
        <v>0.04</v>
      </c>
      <c r="H12" s="232" t="n">
        <f aca="false">HLOOKUP(G12,BDI!$D$19:$J$30,12,)</f>
        <v>0.2994</v>
      </c>
      <c r="I12" s="233" t="n">
        <v>792.76</v>
      </c>
      <c r="J12" s="233" t="n">
        <v>20.46</v>
      </c>
      <c r="K12" s="233" t="n">
        <v>772.3</v>
      </c>
      <c r="L12" s="233" t="n">
        <v>0</v>
      </c>
      <c r="M12" s="233" t="s">
        <v>259</v>
      </c>
      <c r="N12" s="233" t="s">
        <v>259</v>
      </c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  <c r="IU12" s="18"/>
      <c r="IV12" s="18"/>
      <c r="IW12" s="18"/>
      <c r="IX12" s="18"/>
      <c r="IY12" s="18"/>
    </row>
    <row r="13" customFormat="false" ht="18" hidden="false" customHeight="true" outlineLevel="0" collapsed="false">
      <c r="B13" s="229" t="s">
        <v>21</v>
      </c>
      <c r="C13" s="229" t="s">
        <v>21</v>
      </c>
      <c r="D13" s="230" t="s">
        <v>81</v>
      </c>
      <c r="E13" s="231" t="s">
        <v>268</v>
      </c>
      <c r="F13" s="67" t="n">
        <v>0</v>
      </c>
      <c r="G13" s="232" t="n">
        <v>0.04</v>
      </c>
      <c r="H13" s="232" t="n">
        <f aca="false">HLOOKUP(G13,BDI!$D$19:$J$30,12,)</f>
        <v>0.2994</v>
      </c>
      <c r="I13" s="233" t="n">
        <v>2811.03</v>
      </c>
      <c r="J13" s="233" t="n">
        <v>2471.36</v>
      </c>
      <c r="K13" s="233" t="n">
        <v>339.67</v>
      </c>
      <c r="L13" s="233" t="n">
        <v>0</v>
      </c>
      <c r="M13" s="233" t="s">
        <v>261</v>
      </c>
      <c r="N13" s="233" t="s">
        <v>261</v>
      </c>
    </row>
    <row r="14" customFormat="false" ht="18" hidden="false" customHeight="true" outlineLevel="0" collapsed="false">
      <c r="B14" s="229" t="s">
        <v>269</v>
      </c>
      <c r="C14" s="229" t="s">
        <v>21</v>
      </c>
      <c r="D14" s="230" t="s">
        <v>95</v>
      </c>
      <c r="E14" s="231" t="s">
        <v>270</v>
      </c>
      <c r="F14" s="236" t="n">
        <f aca="false">(145*2)/60</f>
        <v>4.83333333333333</v>
      </c>
      <c r="G14" s="232" t="n">
        <v>0.02</v>
      </c>
      <c r="H14" s="232" t="n">
        <f aca="false">HLOOKUP(G14,BDI!$D$19:$J$30,12,)</f>
        <v>0.2707</v>
      </c>
      <c r="I14" s="233" t="n">
        <v>436.8</v>
      </c>
      <c r="J14" s="233" t="n">
        <v>342.01</v>
      </c>
      <c r="K14" s="233" t="n">
        <v>94.79</v>
      </c>
      <c r="L14" s="233" t="n">
        <v>0</v>
      </c>
      <c r="M14" s="233" t="s">
        <v>259</v>
      </c>
      <c r="N14" s="233" t="s">
        <v>259</v>
      </c>
    </row>
    <row r="15" customFormat="false" ht="18" hidden="false" customHeight="true" outlineLevel="0" collapsed="false">
      <c r="B15" s="229" t="s">
        <v>22</v>
      </c>
      <c r="C15" s="229" t="s">
        <v>22</v>
      </c>
      <c r="D15" s="230" t="s">
        <v>133</v>
      </c>
      <c r="E15" s="231" t="s">
        <v>271</v>
      </c>
      <c r="F15" s="67" t="n">
        <f aca="false">(3*2)/60</f>
        <v>0.1</v>
      </c>
      <c r="G15" s="232" t="n">
        <v>0.02</v>
      </c>
      <c r="H15" s="232" t="n">
        <f aca="false">HLOOKUP(G15,BDI!$D$19:$J$30,12,)</f>
        <v>0.2707</v>
      </c>
      <c r="I15" s="233" t="n">
        <v>3420.53</v>
      </c>
      <c r="J15" s="233" t="n">
        <v>0</v>
      </c>
      <c r="K15" s="233" t="n">
        <v>1660.46</v>
      </c>
      <c r="L15" s="233" t="n">
        <v>1760.07</v>
      </c>
      <c r="M15" s="233" t="s">
        <v>259</v>
      </c>
      <c r="N15" s="233" t="s">
        <v>261</v>
      </c>
    </row>
    <row r="16" customFormat="false" ht="18" hidden="false" customHeight="true" outlineLevel="0" collapsed="false">
      <c r="B16" s="229" t="s">
        <v>22</v>
      </c>
      <c r="C16" s="229" t="s">
        <v>22</v>
      </c>
      <c r="D16" s="230" t="s">
        <v>132</v>
      </c>
      <c r="E16" s="231" t="s">
        <v>272</v>
      </c>
      <c r="F16" s="67" t="n">
        <f aca="false">(14*2)/60</f>
        <v>0.466666666666667</v>
      </c>
      <c r="G16" s="232" t="n">
        <v>0.02</v>
      </c>
      <c r="H16" s="232" t="n">
        <f aca="false">HLOOKUP(G16,BDI!$D$19:$J$30,12,)</f>
        <v>0.2707</v>
      </c>
      <c r="I16" s="233" t="n">
        <v>827.93</v>
      </c>
      <c r="J16" s="233" t="n">
        <v>237.41</v>
      </c>
      <c r="K16" s="233" t="n">
        <v>561.57</v>
      </c>
      <c r="L16" s="233" t="n">
        <v>28.95</v>
      </c>
      <c r="M16" s="233" t="s">
        <v>259</v>
      </c>
      <c r="N16" s="233" t="s">
        <v>261</v>
      </c>
    </row>
    <row r="17" customFormat="false" ht="18" hidden="false" customHeight="true" outlineLevel="0" collapsed="false">
      <c r="B17" s="229" t="s">
        <v>22</v>
      </c>
      <c r="C17" s="229" t="s">
        <v>22</v>
      </c>
      <c r="D17" s="230" t="s">
        <v>135</v>
      </c>
      <c r="E17" s="231" t="s">
        <v>273</v>
      </c>
      <c r="F17" s="67" t="n">
        <f aca="false">(21*2)/60</f>
        <v>0.7</v>
      </c>
      <c r="G17" s="232" t="n">
        <v>0.02</v>
      </c>
      <c r="H17" s="232" t="n">
        <f aca="false">HLOOKUP(G17,BDI!$D$19:$J$30,12,)</f>
        <v>0.2707</v>
      </c>
      <c r="I17" s="233" t="n">
        <v>914.18</v>
      </c>
      <c r="J17" s="233" t="n">
        <v>371.04</v>
      </c>
      <c r="K17" s="233" t="n">
        <v>112.85</v>
      </c>
      <c r="L17" s="233" t="n">
        <v>430.29</v>
      </c>
      <c r="M17" s="233" t="s">
        <v>259</v>
      </c>
      <c r="N17" s="233" t="s">
        <v>261</v>
      </c>
    </row>
    <row r="18" s="235" customFormat="true" ht="18" hidden="false" customHeight="true" outlineLevel="0" collapsed="false">
      <c r="B18" s="229" t="s">
        <v>22</v>
      </c>
      <c r="C18" s="229" t="s">
        <v>22</v>
      </c>
      <c r="D18" s="230" t="s">
        <v>274</v>
      </c>
      <c r="E18" s="231" t="s">
        <v>275</v>
      </c>
      <c r="F18" s="67" t="n">
        <f aca="false">(119*2)/60</f>
        <v>3.96666666666667</v>
      </c>
      <c r="G18" s="232" t="n">
        <v>0.025</v>
      </c>
      <c r="H18" s="232" t="n">
        <f aca="false">HLOOKUP(G18,BDI!$D$19:$J$30,12,)</f>
        <v>0.2778</v>
      </c>
      <c r="I18" s="233" t="n">
        <v>1832.48</v>
      </c>
      <c r="J18" s="233" t="n">
        <v>657.24</v>
      </c>
      <c r="K18" s="233" t="n">
        <v>198.31</v>
      </c>
      <c r="L18" s="233" t="n">
        <v>976.93</v>
      </c>
      <c r="M18" s="233" t="s">
        <v>261</v>
      </c>
      <c r="N18" s="233" t="s">
        <v>261</v>
      </c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  <c r="IU18" s="18"/>
      <c r="IV18" s="18"/>
      <c r="IW18" s="18"/>
      <c r="IX18" s="18"/>
      <c r="IY18" s="18"/>
    </row>
    <row r="19" customFormat="false" ht="18" hidden="false" customHeight="true" outlineLevel="0" collapsed="false">
      <c r="A19" s="235"/>
      <c r="B19" s="237" t="s">
        <v>22</v>
      </c>
      <c r="C19" s="237" t="s">
        <v>22</v>
      </c>
      <c r="D19" s="238" t="s">
        <v>141</v>
      </c>
      <c r="E19" s="231" t="s">
        <v>276</v>
      </c>
      <c r="F19" s="239" t="n">
        <f aca="false">(90*2)/60</f>
        <v>3</v>
      </c>
      <c r="G19" s="232" t="n">
        <v>0.025</v>
      </c>
      <c r="H19" s="232" t="n">
        <f aca="false">HLOOKUP(G19,BDI!$D$19:$J$30,12,)</f>
        <v>0.2778</v>
      </c>
      <c r="I19" s="240" t="n">
        <v>1719.85</v>
      </c>
      <c r="J19" s="240" t="n">
        <v>0</v>
      </c>
      <c r="K19" s="240" t="n">
        <v>0</v>
      </c>
      <c r="L19" s="240" t="n">
        <v>1719.85</v>
      </c>
      <c r="M19" s="240" t="s">
        <v>259</v>
      </c>
      <c r="N19" s="240" t="s">
        <v>261</v>
      </c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  <c r="BI19" s="125"/>
      <c r="BJ19" s="125"/>
      <c r="BK19" s="125"/>
      <c r="BL19" s="125"/>
      <c r="BM19" s="125"/>
      <c r="BN19" s="125"/>
      <c r="BO19" s="125"/>
      <c r="BP19" s="125"/>
      <c r="BQ19" s="125"/>
      <c r="BR19" s="125"/>
      <c r="BS19" s="125"/>
      <c r="BT19" s="125"/>
      <c r="BU19" s="125"/>
      <c r="BV19" s="125"/>
      <c r="BW19" s="125"/>
      <c r="BX19" s="125"/>
      <c r="BY19" s="125"/>
      <c r="BZ19" s="125"/>
      <c r="CA19" s="125"/>
      <c r="CB19" s="125"/>
      <c r="CC19" s="125"/>
      <c r="CD19" s="125"/>
      <c r="CE19" s="125"/>
      <c r="CF19" s="125"/>
      <c r="CG19" s="125"/>
      <c r="CH19" s="125"/>
      <c r="CI19" s="125"/>
      <c r="CJ19" s="125"/>
      <c r="CK19" s="125"/>
      <c r="CL19" s="125"/>
      <c r="CM19" s="125"/>
      <c r="CN19" s="125"/>
      <c r="CO19" s="125"/>
      <c r="CP19" s="125"/>
      <c r="CQ19" s="125"/>
      <c r="CR19" s="125"/>
      <c r="CS19" s="125"/>
      <c r="CT19" s="125"/>
      <c r="CU19" s="125"/>
      <c r="CV19" s="125"/>
      <c r="CW19" s="125"/>
      <c r="CX19" s="125"/>
      <c r="CY19" s="125"/>
      <c r="CZ19" s="125"/>
      <c r="DA19" s="125"/>
      <c r="DB19" s="125"/>
      <c r="DC19" s="125"/>
      <c r="DD19" s="125"/>
      <c r="DE19" s="125"/>
      <c r="DF19" s="125"/>
      <c r="DG19" s="125"/>
      <c r="DH19" s="125"/>
      <c r="DI19" s="125"/>
      <c r="DJ19" s="125"/>
      <c r="DK19" s="125"/>
      <c r="DL19" s="125"/>
      <c r="DM19" s="125"/>
      <c r="DN19" s="125"/>
      <c r="DO19" s="125"/>
      <c r="DP19" s="125"/>
      <c r="DQ19" s="125"/>
      <c r="DR19" s="125"/>
      <c r="DS19" s="125"/>
      <c r="DT19" s="125"/>
      <c r="DU19" s="125"/>
      <c r="DV19" s="125"/>
      <c r="DW19" s="125"/>
      <c r="DX19" s="125"/>
      <c r="DY19" s="125"/>
      <c r="DZ19" s="125"/>
      <c r="EA19" s="125"/>
      <c r="EB19" s="125"/>
      <c r="EC19" s="125"/>
      <c r="ED19" s="125"/>
      <c r="EE19" s="125"/>
      <c r="EF19" s="125"/>
      <c r="EG19" s="125"/>
      <c r="EH19" s="125"/>
      <c r="EI19" s="125"/>
      <c r="EJ19" s="125"/>
      <c r="EK19" s="125"/>
      <c r="EL19" s="125"/>
      <c r="EM19" s="125"/>
      <c r="EN19" s="125"/>
      <c r="EO19" s="125"/>
      <c r="EP19" s="125"/>
      <c r="EQ19" s="125"/>
      <c r="ER19" s="125"/>
      <c r="ES19" s="125"/>
      <c r="ET19" s="125"/>
      <c r="EU19" s="125"/>
      <c r="EV19" s="125"/>
      <c r="EW19" s="125"/>
      <c r="EX19" s="125"/>
      <c r="EY19" s="125"/>
      <c r="EZ19" s="125"/>
      <c r="FA19" s="125"/>
      <c r="FB19" s="125"/>
      <c r="FC19" s="125"/>
      <c r="FD19" s="125"/>
      <c r="FE19" s="125"/>
      <c r="FF19" s="125"/>
      <c r="FG19" s="125"/>
      <c r="FH19" s="125"/>
      <c r="FI19" s="125"/>
      <c r="FJ19" s="125"/>
      <c r="FK19" s="125"/>
      <c r="FL19" s="125"/>
      <c r="FM19" s="125"/>
      <c r="FN19" s="125"/>
      <c r="FO19" s="125"/>
      <c r="FP19" s="125"/>
      <c r="FQ19" s="125"/>
      <c r="FR19" s="125"/>
      <c r="FS19" s="125"/>
      <c r="FT19" s="125"/>
      <c r="FU19" s="125"/>
      <c r="FV19" s="125"/>
      <c r="FW19" s="125"/>
      <c r="FX19" s="125"/>
      <c r="FY19" s="125"/>
      <c r="FZ19" s="125"/>
      <c r="GA19" s="125"/>
      <c r="GB19" s="125"/>
      <c r="GC19" s="125"/>
      <c r="GD19" s="125"/>
      <c r="GE19" s="125"/>
      <c r="GF19" s="125"/>
      <c r="GG19" s="125"/>
      <c r="GH19" s="125"/>
      <c r="GI19" s="125"/>
      <c r="GJ19" s="125"/>
      <c r="GK19" s="125"/>
      <c r="GL19" s="125"/>
      <c r="GM19" s="125"/>
      <c r="GN19" s="125"/>
      <c r="GO19" s="125"/>
      <c r="GP19" s="125"/>
      <c r="GQ19" s="125"/>
      <c r="GR19" s="125"/>
      <c r="GS19" s="125"/>
      <c r="GT19" s="125"/>
      <c r="GU19" s="125"/>
      <c r="GV19" s="125"/>
      <c r="GW19" s="125"/>
      <c r="GX19" s="125"/>
      <c r="GY19" s="125"/>
      <c r="GZ19" s="125"/>
      <c r="HA19" s="125"/>
      <c r="HB19" s="125"/>
      <c r="HC19" s="125"/>
      <c r="HD19" s="125"/>
      <c r="HE19" s="125"/>
      <c r="HF19" s="125"/>
      <c r="HG19" s="125"/>
      <c r="HH19" s="125"/>
      <c r="HI19" s="125"/>
      <c r="HJ19" s="125"/>
      <c r="HK19" s="125"/>
      <c r="HL19" s="125"/>
      <c r="HM19" s="125"/>
      <c r="HN19" s="125"/>
      <c r="HO19" s="125"/>
      <c r="HP19" s="125"/>
      <c r="HQ19" s="125"/>
      <c r="HR19" s="125"/>
      <c r="HS19" s="125"/>
      <c r="HT19" s="125"/>
      <c r="HU19" s="125"/>
      <c r="HV19" s="125"/>
      <c r="HW19" s="125"/>
      <c r="HX19" s="125"/>
      <c r="HY19" s="125"/>
      <c r="HZ19" s="125"/>
      <c r="IA19" s="125"/>
      <c r="IB19" s="125"/>
      <c r="IC19" s="125"/>
      <c r="ID19" s="125"/>
      <c r="IE19" s="125"/>
      <c r="IF19" s="125"/>
      <c r="IG19" s="125"/>
      <c r="IH19" s="125"/>
      <c r="II19" s="125"/>
      <c r="IJ19" s="125"/>
      <c r="IK19" s="125"/>
      <c r="IL19" s="125"/>
      <c r="IM19" s="125"/>
      <c r="IN19" s="125"/>
      <c r="IO19" s="125"/>
      <c r="IP19" s="125"/>
      <c r="IQ19" s="125"/>
      <c r="IR19" s="125"/>
      <c r="IS19" s="125"/>
      <c r="IT19" s="125"/>
      <c r="IU19" s="125"/>
      <c r="IV19" s="125"/>
      <c r="IW19" s="125"/>
      <c r="IX19" s="125"/>
      <c r="IY19" s="125"/>
      <c r="IZ19" s="235"/>
      <c r="JA19" s="235"/>
      <c r="JB19" s="235"/>
      <c r="JC19" s="235"/>
      <c r="JD19" s="235"/>
      <c r="JE19" s="235"/>
      <c r="JF19" s="235"/>
      <c r="JG19" s="235"/>
      <c r="JH19" s="235"/>
      <c r="JI19" s="235"/>
      <c r="JJ19" s="235"/>
      <c r="JK19" s="235"/>
      <c r="JL19" s="235"/>
      <c r="JM19" s="235"/>
      <c r="JN19" s="235"/>
      <c r="JO19" s="235"/>
      <c r="JP19" s="235"/>
      <c r="JQ19" s="235"/>
      <c r="JR19" s="235"/>
      <c r="JS19" s="235"/>
      <c r="JT19" s="235"/>
      <c r="JU19" s="235"/>
      <c r="JV19" s="235"/>
      <c r="JW19" s="235"/>
      <c r="JX19" s="235"/>
      <c r="JY19" s="235"/>
      <c r="JZ19" s="235"/>
      <c r="KA19" s="235"/>
      <c r="KB19" s="235"/>
      <c r="KC19" s="235"/>
      <c r="KD19" s="235"/>
      <c r="KE19" s="235"/>
      <c r="KF19" s="235"/>
      <c r="KG19" s="235"/>
      <c r="KH19" s="235"/>
      <c r="KI19" s="235"/>
      <c r="KJ19" s="235"/>
      <c r="KK19" s="235"/>
      <c r="KL19" s="235"/>
      <c r="KM19" s="235"/>
      <c r="KN19" s="235"/>
      <c r="KO19" s="235"/>
      <c r="KP19" s="235"/>
      <c r="KQ19" s="235"/>
      <c r="KR19" s="235"/>
      <c r="KS19" s="235"/>
      <c r="KT19" s="235"/>
      <c r="KU19" s="235"/>
      <c r="KV19" s="235"/>
      <c r="KW19" s="235"/>
      <c r="KX19" s="235"/>
      <c r="KY19" s="235"/>
      <c r="KZ19" s="235"/>
      <c r="LA19" s="235"/>
      <c r="LB19" s="235"/>
      <c r="LC19" s="235"/>
      <c r="LD19" s="235"/>
      <c r="LE19" s="235"/>
      <c r="LF19" s="235"/>
      <c r="LG19" s="235"/>
      <c r="LH19" s="235"/>
      <c r="LI19" s="235"/>
      <c r="LJ19" s="235"/>
      <c r="LK19" s="235"/>
      <c r="LL19" s="235"/>
      <c r="LM19" s="235"/>
      <c r="LN19" s="235"/>
      <c r="LO19" s="235"/>
      <c r="LP19" s="235"/>
      <c r="LQ19" s="235"/>
      <c r="LR19" s="235"/>
      <c r="LS19" s="235"/>
      <c r="LT19" s="235"/>
      <c r="LU19" s="235"/>
      <c r="LV19" s="235"/>
      <c r="LW19" s="235"/>
      <c r="LX19" s="235"/>
      <c r="LY19" s="235"/>
      <c r="LZ19" s="235"/>
      <c r="MA19" s="235"/>
      <c r="MB19" s="235"/>
      <c r="MC19" s="235"/>
      <c r="MD19" s="235"/>
      <c r="ME19" s="235"/>
      <c r="MF19" s="235"/>
      <c r="MG19" s="235"/>
      <c r="MH19" s="235"/>
      <c r="MI19" s="235"/>
      <c r="MJ19" s="235"/>
      <c r="MK19" s="235"/>
      <c r="ML19" s="235"/>
      <c r="MM19" s="235"/>
      <c r="MN19" s="235"/>
      <c r="MO19" s="235"/>
      <c r="MP19" s="235"/>
      <c r="MQ19" s="235"/>
      <c r="MR19" s="235"/>
      <c r="MS19" s="235"/>
      <c r="MT19" s="235"/>
      <c r="MU19" s="235"/>
      <c r="MV19" s="235"/>
      <c r="MW19" s="235"/>
      <c r="MX19" s="235"/>
      <c r="MY19" s="235"/>
      <c r="MZ19" s="235"/>
      <c r="NA19" s="235"/>
      <c r="NB19" s="235"/>
      <c r="NC19" s="235"/>
      <c r="ND19" s="235"/>
      <c r="NE19" s="235"/>
      <c r="NF19" s="235"/>
      <c r="NG19" s="235"/>
      <c r="NH19" s="235"/>
      <c r="NI19" s="235"/>
      <c r="NJ19" s="235"/>
      <c r="NK19" s="235"/>
      <c r="NL19" s="235"/>
      <c r="NM19" s="235"/>
      <c r="NN19" s="235"/>
      <c r="NO19" s="235"/>
      <c r="NP19" s="235"/>
      <c r="NQ19" s="235"/>
      <c r="NR19" s="235"/>
      <c r="NS19" s="235"/>
      <c r="NT19" s="235"/>
      <c r="NU19" s="235"/>
      <c r="NV19" s="235"/>
      <c r="NW19" s="235"/>
      <c r="NX19" s="235"/>
      <c r="NY19" s="235"/>
      <c r="NZ19" s="235"/>
      <c r="OA19" s="235"/>
      <c r="OB19" s="235"/>
      <c r="OC19" s="235"/>
      <c r="OD19" s="235"/>
      <c r="OE19" s="235"/>
      <c r="OF19" s="235"/>
      <c r="OG19" s="235"/>
      <c r="OH19" s="235"/>
      <c r="OI19" s="235"/>
      <c r="OJ19" s="235"/>
      <c r="OK19" s="235"/>
      <c r="OL19" s="235"/>
      <c r="OM19" s="235"/>
      <c r="ON19" s="235"/>
      <c r="OO19" s="235"/>
      <c r="OP19" s="235"/>
      <c r="OQ19" s="235"/>
      <c r="OR19" s="235"/>
      <c r="OS19" s="235"/>
      <c r="OT19" s="235"/>
      <c r="OU19" s="235"/>
      <c r="OV19" s="235"/>
      <c r="OW19" s="235"/>
      <c r="OX19" s="235"/>
      <c r="OY19" s="235"/>
      <c r="OZ19" s="235"/>
      <c r="PA19" s="235"/>
      <c r="PB19" s="235"/>
      <c r="PC19" s="235"/>
      <c r="PD19" s="235"/>
      <c r="PE19" s="235"/>
      <c r="PF19" s="235"/>
      <c r="PG19" s="235"/>
      <c r="PH19" s="235"/>
      <c r="PI19" s="235"/>
      <c r="PJ19" s="235"/>
      <c r="PK19" s="235"/>
      <c r="PL19" s="235"/>
      <c r="PM19" s="235"/>
      <c r="PN19" s="235"/>
      <c r="PO19" s="235"/>
      <c r="PP19" s="235"/>
      <c r="PQ19" s="235"/>
      <c r="PR19" s="235"/>
      <c r="PS19" s="235"/>
      <c r="PT19" s="235"/>
      <c r="PU19" s="235"/>
      <c r="PV19" s="235"/>
      <c r="PW19" s="235"/>
      <c r="PX19" s="235"/>
      <c r="PY19" s="235"/>
      <c r="PZ19" s="235"/>
      <c r="QA19" s="235"/>
      <c r="QB19" s="235"/>
      <c r="QC19" s="235"/>
      <c r="QD19" s="235"/>
      <c r="QE19" s="235"/>
      <c r="QF19" s="235"/>
      <c r="QG19" s="235"/>
      <c r="QH19" s="235"/>
      <c r="QI19" s="235"/>
      <c r="QJ19" s="235"/>
      <c r="QK19" s="235"/>
      <c r="QL19" s="235"/>
      <c r="QM19" s="235"/>
      <c r="QN19" s="235"/>
      <c r="QO19" s="235"/>
      <c r="QP19" s="235"/>
      <c r="QQ19" s="235"/>
      <c r="QR19" s="235"/>
      <c r="QS19" s="235"/>
      <c r="QT19" s="235"/>
      <c r="QU19" s="235"/>
      <c r="QV19" s="235"/>
      <c r="QW19" s="235"/>
      <c r="QX19" s="235"/>
      <c r="QY19" s="235"/>
      <c r="QZ19" s="235"/>
      <c r="RA19" s="235"/>
      <c r="RB19" s="235"/>
      <c r="RC19" s="235"/>
      <c r="RD19" s="235"/>
      <c r="RE19" s="235"/>
      <c r="RF19" s="235"/>
      <c r="RG19" s="235"/>
      <c r="RH19" s="235"/>
      <c r="RI19" s="235"/>
      <c r="RJ19" s="235"/>
      <c r="RK19" s="235"/>
      <c r="RL19" s="235"/>
      <c r="RM19" s="235"/>
      <c r="RN19" s="235"/>
      <c r="RO19" s="235"/>
      <c r="RP19" s="235"/>
      <c r="RQ19" s="235"/>
      <c r="RR19" s="235"/>
      <c r="RS19" s="235"/>
      <c r="RT19" s="235"/>
      <c r="RU19" s="235"/>
      <c r="RV19" s="235"/>
      <c r="RW19" s="235"/>
      <c r="RX19" s="235"/>
      <c r="RY19" s="235"/>
      <c r="RZ19" s="235"/>
      <c r="SA19" s="235"/>
      <c r="SB19" s="235"/>
      <c r="SC19" s="235"/>
      <c r="SD19" s="235"/>
      <c r="SE19" s="235"/>
      <c r="SF19" s="235"/>
      <c r="SG19" s="235"/>
      <c r="SH19" s="235"/>
      <c r="SI19" s="235"/>
      <c r="SJ19" s="235"/>
      <c r="SK19" s="235"/>
      <c r="SL19" s="235"/>
      <c r="SM19" s="235"/>
      <c r="SN19" s="235"/>
      <c r="SO19" s="235"/>
      <c r="SP19" s="235"/>
      <c r="SQ19" s="235"/>
      <c r="SR19" s="235"/>
      <c r="SS19" s="235"/>
      <c r="ST19" s="235"/>
      <c r="SU19" s="235"/>
      <c r="SV19" s="235"/>
      <c r="SW19" s="235"/>
      <c r="SX19" s="235"/>
      <c r="SY19" s="235"/>
      <c r="SZ19" s="235"/>
      <c r="TA19" s="235"/>
      <c r="TB19" s="235"/>
      <c r="TC19" s="235"/>
      <c r="TD19" s="235"/>
      <c r="TE19" s="235"/>
      <c r="TF19" s="235"/>
      <c r="TG19" s="235"/>
      <c r="TH19" s="235"/>
      <c r="TI19" s="235"/>
      <c r="TJ19" s="235"/>
      <c r="TK19" s="235"/>
      <c r="TL19" s="235"/>
      <c r="TM19" s="235"/>
      <c r="TN19" s="235"/>
      <c r="TO19" s="235"/>
      <c r="TP19" s="235"/>
      <c r="TQ19" s="235"/>
      <c r="TR19" s="235"/>
      <c r="TS19" s="235"/>
      <c r="TT19" s="235"/>
      <c r="TU19" s="235"/>
      <c r="TV19" s="235"/>
      <c r="TW19" s="235"/>
      <c r="TX19" s="235"/>
      <c r="TY19" s="235"/>
      <c r="TZ19" s="235"/>
      <c r="UA19" s="235"/>
      <c r="UB19" s="235"/>
      <c r="UC19" s="235"/>
      <c r="UD19" s="235"/>
      <c r="UE19" s="235"/>
      <c r="UF19" s="235"/>
      <c r="UG19" s="235"/>
      <c r="UH19" s="235"/>
      <c r="UI19" s="235"/>
      <c r="UJ19" s="235"/>
      <c r="UK19" s="235"/>
      <c r="UL19" s="235"/>
      <c r="UM19" s="235"/>
      <c r="UN19" s="235"/>
      <c r="UO19" s="235"/>
      <c r="UP19" s="235"/>
      <c r="UQ19" s="235"/>
      <c r="UR19" s="235"/>
      <c r="US19" s="235"/>
      <c r="UT19" s="235"/>
      <c r="UU19" s="235"/>
      <c r="UV19" s="235"/>
      <c r="UW19" s="235"/>
      <c r="UX19" s="235"/>
      <c r="UY19" s="235"/>
      <c r="UZ19" s="235"/>
      <c r="VA19" s="235"/>
      <c r="VB19" s="235"/>
      <c r="VC19" s="235"/>
      <c r="VD19" s="235"/>
      <c r="VE19" s="235"/>
      <c r="VF19" s="235"/>
      <c r="VG19" s="235"/>
      <c r="VH19" s="235"/>
      <c r="VI19" s="235"/>
      <c r="VJ19" s="235"/>
      <c r="VK19" s="235"/>
      <c r="VL19" s="235"/>
      <c r="VM19" s="235"/>
      <c r="VN19" s="235"/>
      <c r="VO19" s="235"/>
      <c r="VP19" s="235"/>
      <c r="VQ19" s="235"/>
      <c r="VR19" s="235"/>
      <c r="VS19" s="235"/>
      <c r="VT19" s="235"/>
      <c r="VU19" s="235"/>
      <c r="VV19" s="235"/>
      <c r="VW19" s="235"/>
      <c r="VX19" s="235"/>
      <c r="VY19" s="235"/>
      <c r="VZ19" s="235"/>
      <c r="WA19" s="235"/>
      <c r="WB19" s="235"/>
      <c r="WC19" s="235"/>
      <c r="WD19" s="235"/>
      <c r="WE19" s="235"/>
      <c r="WF19" s="235"/>
      <c r="WG19" s="235"/>
      <c r="WH19" s="235"/>
      <c r="WI19" s="235"/>
      <c r="WJ19" s="235"/>
      <c r="WK19" s="235"/>
      <c r="WL19" s="235"/>
      <c r="WM19" s="235"/>
      <c r="WN19" s="235"/>
      <c r="WO19" s="235"/>
      <c r="WP19" s="235"/>
      <c r="WQ19" s="235"/>
      <c r="WR19" s="235"/>
      <c r="WS19" s="235"/>
      <c r="WT19" s="235"/>
      <c r="WU19" s="235"/>
      <c r="WV19" s="235"/>
      <c r="WW19" s="235"/>
      <c r="WX19" s="235"/>
      <c r="WY19" s="235"/>
      <c r="WZ19" s="235"/>
      <c r="XA19" s="235"/>
      <c r="XB19" s="235"/>
      <c r="XC19" s="235"/>
      <c r="XD19" s="235"/>
      <c r="XE19" s="235"/>
      <c r="XF19" s="235"/>
      <c r="XG19" s="235"/>
      <c r="XH19" s="235"/>
      <c r="XI19" s="235"/>
      <c r="XJ19" s="235"/>
      <c r="XK19" s="235"/>
      <c r="XL19" s="235"/>
      <c r="XM19" s="235"/>
      <c r="XN19" s="235"/>
      <c r="XO19" s="235"/>
      <c r="XP19" s="235"/>
      <c r="XQ19" s="235"/>
      <c r="XR19" s="235"/>
      <c r="XS19" s="235"/>
      <c r="XT19" s="235"/>
      <c r="XU19" s="235"/>
      <c r="XV19" s="235"/>
      <c r="XW19" s="235"/>
      <c r="XX19" s="235"/>
      <c r="XY19" s="235"/>
      <c r="XZ19" s="235"/>
      <c r="YA19" s="235"/>
      <c r="YB19" s="235"/>
      <c r="YC19" s="235"/>
      <c r="YD19" s="235"/>
      <c r="YE19" s="235"/>
      <c r="YF19" s="235"/>
      <c r="YG19" s="235"/>
      <c r="YH19" s="235"/>
      <c r="YI19" s="235"/>
      <c r="YJ19" s="235"/>
      <c r="YK19" s="235"/>
      <c r="YL19" s="235"/>
      <c r="YM19" s="235"/>
      <c r="YN19" s="235"/>
      <c r="YO19" s="235"/>
      <c r="YP19" s="235"/>
      <c r="YQ19" s="235"/>
      <c r="YR19" s="235"/>
      <c r="YS19" s="235"/>
      <c r="YT19" s="235"/>
      <c r="YU19" s="235"/>
      <c r="YV19" s="235"/>
      <c r="YW19" s="235"/>
      <c r="YX19" s="235"/>
      <c r="YY19" s="235"/>
      <c r="YZ19" s="235"/>
      <c r="ZA19" s="235"/>
      <c r="ZB19" s="235"/>
      <c r="ZC19" s="235"/>
      <c r="ZD19" s="235"/>
      <c r="ZE19" s="235"/>
      <c r="ZF19" s="235"/>
      <c r="ZG19" s="235"/>
      <c r="ZH19" s="235"/>
      <c r="ZI19" s="235"/>
      <c r="ZJ19" s="235"/>
      <c r="ZK19" s="235"/>
      <c r="ZL19" s="235"/>
      <c r="ZM19" s="235"/>
      <c r="ZN19" s="235"/>
      <c r="ZO19" s="235"/>
      <c r="ZP19" s="235"/>
      <c r="ZQ19" s="235"/>
      <c r="ZR19" s="235"/>
      <c r="ZS19" s="235"/>
      <c r="ZT19" s="235"/>
      <c r="ZU19" s="235"/>
      <c r="ZV19" s="235"/>
      <c r="ZW19" s="235"/>
      <c r="ZX19" s="235"/>
      <c r="ZY19" s="235"/>
      <c r="ZZ19" s="235"/>
      <c r="AAA19" s="235"/>
      <c r="AAB19" s="235"/>
      <c r="AAC19" s="235"/>
      <c r="AAD19" s="235"/>
      <c r="AAE19" s="235"/>
      <c r="AAF19" s="235"/>
      <c r="AAG19" s="235"/>
      <c r="AAH19" s="235"/>
      <c r="AAI19" s="235"/>
      <c r="AAJ19" s="235"/>
      <c r="AAK19" s="235"/>
      <c r="AAL19" s="235"/>
      <c r="AAM19" s="235"/>
      <c r="AAN19" s="235"/>
      <c r="AAO19" s="235"/>
      <c r="AAP19" s="235"/>
      <c r="AAQ19" s="235"/>
      <c r="AAR19" s="235"/>
      <c r="AAS19" s="235"/>
      <c r="AAT19" s="235"/>
      <c r="AAU19" s="235"/>
      <c r="AAV19" s="235"/>
      <c r="AAW19" s="235"/>
      <c r="AAX19" s="235"/>
      <c r="AAY19" s="235"/>
      <c r="AAZ19" s="235"/>
      <c r="ABA19" s="235"/>
      <c r="ABB19" s="235"/>
      <c r="ABC19" s="235"/>
      <c r="ABD19" s="235"/>
      <c r="ABE19" s="235"/>
      <c r="ABF19" s="235"/>
      <c r="ABG19" s="235"/>
      <c r="ABH19" s="235"/>
      <c r="ABI19" s="235"/>
      <c r="ABJ19" s="235"/>
      <c r="ABK19" s="235"/>
      <c r="ABL19" s="235"/>
      <c r="ABM19" s="235"/>
      <c r="ABN19" s="235"/>
      <c r="ABO19" s="235"/>
      <c r="ABP19" s="235"/>
      <c r="ABQ19" s="235"/>
      <c r="ABR19" s="235"/>
      <c r="ABS19" s="235"/>
      <c r="ABT19" s="235"/>
      <c r="ABU19" s="235"/>
      <c r="ABV19" s="235"/>
      <c r="ABW19" s="235"/>
      <c r="ABX19" s="235"/>
      <c r="ABY19" s="235"/>
      <c r="ABZ19" s="235"/>
      <c r="ACA19" s="235"/>
      <c r="ACB19" s="235"/>
      <c r="ACC19" s="235"/>
      <c r="ACD19" s="235"/>
      <c r="ACE19" s="235"/>
      <c r="ACF19" s="235"/>
      <c r="ACG19" s="235"/>
      <c r="ACH19" s="235"/>
      <c r="ACI19" s="235"/>
      <c r="ACJ19" s="235"/>
      <c r="ACK19" s="235"/>
      <c r="ACL19" s="235"/>
      <c r="ACM19" s="235"/>
      <c r="ACN19" s="235"/>
      <c r="ACO19" s="235"/>
      <c r="ACP19" s="235"/>
      <c r="ACQ19" s="235"/>
      <c r="ACR19" s="235"/>
      <c r="ACS19" s="235"/>
      <c r="ACT19" s="235"/>
      <c r="ACU19" s="235"/>
      <c r="ACV19" s="235"/>
      <c r="ACW19" s="235"/>
      <c r="ACX19" s="235"/>
      <c r="ACY19" s="235"/>
      <c r="ACZ19" s="235"/>
      <c r="ADA19" s="235"/>
      <c r="ADB19" s="235"/>
      <c r="ADC19" s="235"/>
      <c r="ADD19" s="235"/>
      <c r="ADE19" s="235"/>
      <c r="ADF19" s="235"/>
      <c r="ADG19" s="235"/>
      <c r="ADH19" s="235"/>
      <c r="ADI19" s="235"/>
      <c r="ADJ19" s="235"/>
      <c r="ADK19" s="235"/>
      <c r="ADL19" s="235"/>
      <c r="ADM19" s="235"/>
      <c r="ADN19" s="235"/>
      <c r="ADO19" s="235"/>
      <c r="ADP19" s="235"/>
      <c r="ADQ19" s="235"/>
      <c r="ADR19" s="235"/>
      <c r="ADS19" s="235"/>
      <c r="ADT19" s="235"/>
      <c r="ADU19" s="235"/>
      <c r="ADV19" s="235"/>
      <c r="ADW19" s="235"/>
      <c r="ADX19" s="235"/>
      <c r="ADY19" s="235"/>
      <c r="ADZ19" s="235"/>
      <c r="AEA19" s="235"/>
      <c r="AEB19" s="235"/>
      <c r="AEC19" s="235"/>
      <c r="AED19" s="235"/>
      <c r="AEE19" s="235"/>
      <c r="AEF19" s="235"/>
      <c r="AEG19" s="235"/>
      <c r="AEH19" s="235"/>
      <c r="AEI19" s="235"/>
      <c r="AEJ19" s="235"/>
      <c r="AEK19" s="235"/>
      <c r="AEL19" s="235"/>
      <c r="AEM19" s="235"/>
      <c r="AEN19" s="235"/>
      <c r="AEO19" s="235"/>
      <c r="AEP19" s="235"/>
      <c r="AEQ19" s="235"/>
      <c r="AER19" s="235"/>
      <c r="AES19" s="235"/>
      <c r="AET19" s="235"/>
      <c r="AEU19" s="235"/>
      <c r="AEV19" s="235"/>
      <c r="AEW19" s="235"/>
      <c r="AEX19" s="235"/>
      <c r="AEY19" s="235"/>
      <c r="AEZ19" s="235"/>
      <c r="AFA19" s="235"/>
      <c r="AFB19" s="235"/>
      <c r="AFC19" s="235"/>
      <c r="AFD19" s="235"/>
      <c r="AFE19" s="235"/>
      <c r="AFF19" s="235"/>
      <c r="AFG19" s="235"/>
      <c r="AFH19" s="235"/>
      <c r="AFI19" s="235"/>
      <c r="AFJ19" s="235"/>
      <c r="AFK19" s="235"/>
      <c r="AFL19" s="235"/>
      <c r="AFM19" s="235"/>
      <c r="AFN19" s="235"/>
      <c r="AFO19" s="235"/>
      <c r="AFP19" s="235"/>
      <c r="AFQ19" s="235"/>
      <c r="AFR19" s="235"/>
      <c r="AFS19" s="235"/>
      <c r="AFT19" s="235"/>
      <c r="AFU19" s="235"/>
      <c r="AFV19" s="235"/>
      <c r="AFW19" s="235"/>
      <c r="AFX19" s="235"/>
      <c r="AFY19" s="235"/>
      <c r="AFZ19" s="235"/>
      <c r="AGA19" s="235"/>
      <c r="AGB19" s="235"/>
      <c r="AGC19" s="235"/>
      <c r="AGD19" s="235"/>
      <c r="AGE19" s="235"/>
      <c r="AGF19" s="235"/>
      <c r="AGG19" s="235"/>
      <c r="AGH19" s="235"/>
      <c r="AGI19" s="235"/>
      <c r="AGJ19" s="235"/>
      <c r="AGK19" s="235"/>
      <c r="AGL19" s="235"/>
      <c r="AGM19" s="235"/>
      <c r="AGN19" s="235"/>
      <c r="AGO19" s="235"/>
      <c r="AGP19" s="235"/>
      <c r="AGQ19" s="235"/>
      <c r="AGR19" s="235"/>
      <c r="AGS19" s="235"/>
      <c r="AGT19" s="235"/>
      <c r="AGU19" s="235"/>
      <c r="AGV19" s="235"/>
      <c r="AGW19" s="235"/>
      <c r="AGX19" s="235"/>
      <c r="AGY19" s="235"/>
      <c r="AGZ19" s="235"/>
      <c r="AHA19" s="235"/>
      <c r="AHB19" s="235"/>
      <c r="AHC19" s="235"/>
      <c r="AHD19" s="235"/>
      <c r="AHE19" s="235"/>
      <c r="AHF19" s="235"/>
      <c r="AHG19" s="235"/>
      <c r="AHH19" s="235"/>
      <c r="AHI19" s="235"/>
      <c r="AHJ19" s="235"/>
      <c r="AHK19" s="235"/>
      <c r="AHL19" s="235"/>
      <c r="AHM19" s="235"/>
      <c r="AHN19" s="235"/>
      <c r="AHO19" s="235"/>
      <c r="AHP19" s="235"/>
      <c r="AHQ19" s="235"/>
      <c r="AHR19" s="235"/>
      <c r="AHS19" s="235"/>
      <c r="AHT19" s="235"/>
      <c r="AHU19" s="235"/>
      <c r="AHV19" s="235"/>
      <c r="AHW19" s="235"/>
      <c r="AHX19" s="235"/>
      <c r="AHY19" s="235"/>
      <c r="AHZ19" s="235"/>
      <c r="AIA19" s="235"/>
      <c r="AIB19" s="235"/>
      <c r="AIC19" s="235"/>
      <c r="AID19" s="235"/>
      <c r="AIE19" s="235"/>
      <c r="AIF19" s="235"/>
      <c r="AIG19" s="235"/>
      <c r="AIH19" s="235"/>
      <c r="AII19" s="235"/>
      <c r="AIJ19" s="235"/>
      <c r="AIK19" s="235"/>
      <c r="AIL19" s="235"/>
      <c r="AIM19" s="235"/>
      <c r="AIN19" s="235"/>
      <c r="AIO19" s="235"/>
      <c r="AIP19" s="235"/>
      <c r="AIQ19" s="235"/>
      <c r="AIR19" s="235"/>
      <c r="AIS19" s="235"/>
      <c r="AIT19" s="235"/>
      <c r="AIU19" s="235"/>
      <c r="AIV19" s="235"/>
      <c r="AIW19" s="235"/>
      <c r="AIX19" s="235"/>
      <c r="AIY19" s="235"/>
      <c r="AIZ19" s="235"/>
      <c r="AJA19" s="235"/>
      <c r="AJB19" s="235"/>
      <c r="AJC19" s="235"/>
      <c r="AJD19" s="235"/>
      <c r="AJE19" s="235"/>
      <c r="AJF19" s="235"/>
      <c r="AJG19" s="235"/>
      <c r="AJH19" s="235"/>
      <c r="AJI19" s="235"/>
      <c r="AJJ19" s="235"/>
      <c r="AJK19" s="235"/>
      <c r="AJL19" s="235"/>
      <c r="AJM19" s="235"/>
      <c r="AJN19" s="235"/>
      <c r="AJO19" s="235"/>
      <c r="AJP19" s="235"/>
      <c r="AJQ19" s="235"/>
      <c r="AJR19" s="235"/>
      <c r="AJS19" s="235"/>
      <c r="AJT19" s="235"/>
      <c r="AJU19" s="235"/>
      <c r="AJV19" s="235"/>
      <c r="AJW19" s="235"/>
      <c r="AJX19" s="235"/>
      <c r="AJY19" s="235"/>
      <c r="AJZ19" s="235"/>
      <c r="AKA19" s="235"/>
      <c r="AKB19" s="235"/>
      <c r="AKC19" s="235"/>
      <c r="AKD19" s="235"/>
      <c r="AKE19" s="235"/>
      <c r="AKF19" s="235"/>
      <c r="AKG19" s="235"/>
      <c r="AKH19" s="235"/>
      <c r="AKI19" s="235"/>
      <c r="AKJ19" s="235"/>
      <c r="AKK19" s="235"/>
      <c r="AKL19" s="235"/>
      <c r="AKM19" s="235"/>
      <c r="AKN19" s="235"/>
      <c r="AKO19" s="235"/>
      <c r="AKP19" s="235"/>
      <c r="AKQ19" s="235"/>
      <c r="AKR19" s="235"/>
      <c r="AKS19" s="235"/>
      <c r="AKT19" s="235"/>
      <c r="AKU19" s="235"/>
      <c r="AKV19" s="235"/>
      <c r="AKW19" s="235"/>
      <c r="AKX19" s="235"/>
      <c r="AKY19" s="235"/>
      <c r="AKZ19" s="235"/>
      <c r="ALA19" s="235"/>
      <c r="ALB19" s="235"/>
      <c r="ALC19" s="235"/>
      <c r="ALD19" s="235"/>
      <c r="ALE19" s="235"/>
      <c r="ALF19" s="235"/>
      <c r="ALG19" s="235"/>
      <c r="ALH19" s="235"/>
      <c r="ALI19" s="235"/>
      <c r="ALJ19" s="235"/>
      <c r="ALK19" s="235"/>
      <c r="ALL19" s="235"/>
      <c r="ALM19" s="235"/>
      <c r="ALN19" s="235"/>
      <c r="ALO19" s="235"/>
      <c r="ALP19" s="235"/>
      <c r="ALQ19" s="235"/>
      <c r="ALR19" s="235"/>
      <c r="ALS19" s="235"/>
      <c r="ALT19" s="235"/>
      <c r="ALU19" s="235"/>
      <c r="ALV19" s="235"/>
      <c r="ALW19" s="235"/>
      <c r="ALX19" s="235"/>
      <c r="ALY19" s="235"/>
      <c r="ALZ19" s="235"/>
      <c r="AMA19" s="235"/>
      <c r="AMB19" s="235"/>
      <c r="AMC19" s="235"/>
      <c r="AMD19" s="235"/>
      <c r="AME19" s="235"/>
      <c r="AMF19" s="235"/>
      <c r="AMG19" s="235"/>
      <c r="AMH19" s="235"/>
      <c r="AMI19" s="235"/>
      <c r="AMJ19" s="235"/>
    </row>
    <row r="20" customFormat="false" ht="18" hidden="false" customHeight="true" outlineLevel="0" collapsed="false">
      <c r="A20" s="235"/>
      <c r="B20" s="237" t="s">
        <v>22</v>
      </c>
      <c r="C20" s="237" t="s">
        <v>22</v>
      </c>
      <c r="D20" s="238" t="s">
        <v>142</v>
      </c>
      <c r="E20" s="231" t="s">
        <v>277</v>
      </c>
      <c r="F20" s="239" t="n">
        <f aca="false">(96*2)/60</f>
        <v>3.2</v>
      </c>
      <c r="G20" s="232" t="n">
        <v>0.025</v>
      </c>
      <c r="H20" s="232" t="n">
        <f aca="false">HLOOKUP(G20,BDI!$D$19:$J$30,12,)</f>
        <v>0.2778</v>
      </c>
      <c r="I20" s="240" t="n">
        <v>1331.03</v>
      </c>
      <c r="J20" s="240" t="n">
        <v>1145.6</v>
      </c>
      <c r="K20" s="240" t="n">
        <v>185.43</v>
      </c>
      <c r="L20" s="240" t="n">
        <v>0</v>
      </c>
      <c r="M20" s="240" t="s">
        <v>261</v>
      </c>
      <c r="N20" s="240" t="s">
        <v>259</v>
      </c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  <c r="BD20" s="125"/>
      <c r="BE20" s="125"/>
      <c r="BF20" s="125"/>
      <c r="BG20" s="125"/>
      <c r="BH20" s="125"/>
      <c r="BI20" s="125"/>
      <c r="BJ20" s="125"/>
      <c r="BK20" s="125"/>
      <c r="BL20" s="125"/>
      <c r="BM20" s="125"/>
      <c r="BN20" s="125"/>
      <c r="BO20" s="125"/>
      <c r="BP20" s="125"/>
      <c r="BQ20" s="125"/>
      <c r="BR20" s="125"/>
      <c r="BS20" s="125"/>
      <c r="BT20" s="125"/>
      <c r="BU20" s="125"/>
      <c r="BV20" s="125"/>
      <c r="BW20" s="125"/>
      <c r="BX20" s="125"/>
      <c r="BY20" s="125"/>
      <c r="BZ20" s="125"/>
      <c r="CA20" s="125"/>
      <c r="CB20" s="125"/>
      <c r="CC20" s="125"/>
      <c r="CD20" s="125"/>
      <c r="CE20" s="125"/>
      <c r="CF20" s="125"/>
      <c r="CG20" s="125"/>
      <c r="CH20" s="125"/>
      <c r="CI20" s="125"/>
      <c r="CJ20" s="125"/>
      <c r="CK20" s="125"/>
      <c r="CL20" s="125"/>
      <c r="CM20" s="125"/>
      <c r="CN20" s="125"/>
      <c r="CO20" s="125"/>
      <c r="CP20" s="125"/>
      <c r="CQ20" s="125"/>
      <c r="CR20" s="125"/>
      <c r="CS20" s="125"/>
      <c r="CT20" s="125"/>
      <c r="CU20" s="125"/>
      <c r="CV20" s="125"/>
      <c r="CW20" s="125"/>
      <c r="CX20" s="125"/>
      <c r="CY20" s="125"/>
      <c r="CZ20" s="125"/>
      <c r="DA20" s="125"/>
      <c r="DB20" s="125"/>
      <c r="DC20" s="125"/>
      <c r="DD20" s="125"/>
      <c r="DE20" s="125"/>
      <c r="DF20" s="125"/>
      <c r="DG20" s="125"/>
      <c r="DH20" s="125"/>
      <c r="DI20" s="125"/>
      <c r="DJ20" s="125"/>
      <c r="DK20" s="125"/>
      <c r="DL20" s="125"/>
      <c r="DM20" s="125"/>
      <c r="DN20" s="125"/>
      <c r="DO20" s="125"/>
      <c r="DP20" s="125"/>
      <c r="DQ20" s="125"/>
      <c r="DR20" s="125"/>
      <c r="DS20" s="125"/>
      <c r="DT20" s="125"/>
      <c r="DU20" s="125"/>
      <c r="DV20" s="125"/>
      <c r="DW20" s="125"/>
      <c r="DX20" s="125"/>
      <c r="DY20" s="125"/>
      <c r="DZ20" s="125"/>
      <c r="EA20" s="125"/>
      <c r="EB20" s="125"/>
      <c r="EC20" s="125"/>
      <c r="ED20" s="125"/>
      <c r="EE20" s="125"/>
      <c r="EF20" s="125"/>
      <c r="EG20" s="125"/>
      <c r="EH20" s="125"/>
      <c r="EI20" s="125"/>
      <c r="EJ20" s="125"/>
      <c r="EK20" s="125"/>
      <c r="EL20" s="125"/>
      <c r="EM20" s="125"/>
      <c r="EN20" s="125"/>
      <c r="EO20" s="125"/>
      <c r="EP20" s="125"/>
      <c r="EQ20" s="125"/>
      <c r="ER20" s="125"/>
      <c r="ES20" s="125"/>
      <c r="ET20" s="125"/>
      <c r="EU20" s="125"/>
      <c r="EV20" s="125"/>
      <c r="EW20" s="125"/>
      <c r="EX20" s="125"/>
      <c r="EY20" s="125"/>
      <c r="EZ20" s="125"/>
      <c r="FA20" s="125"/>
      <c r="FB20" s="125"/>
      <c r="FC20" s="125"/>
      <c r="FD20" s="125"/>
      <c r="FE20" s="125"/>
      <c r="FF20" s="125"/>
      <c r="FG20" s="125"/>
      <c r="FH20" s="125"/>
      <c r="FI20" s="125"/>
      <c r="FJ20" s="125"/>
      <c r="FK20" s="125"/>
      <c r="FL20" s="125"/>
      <c r="FM20" s="125"/>
      <c r="FN20" s="125"/>
      <c r="FO20" s="125"/>
      <c r="FP20" s="125"/>
      <c r="FQ20" s="125"/>
      <c r="FR20" s="125"/>
      <c r="FS20" s="125"/>
      <c r="FT20" s="125"/>
      <c r="FU20" s="125"/>
      <c r="FV20" s="125"/>
      <c r="FW20" s="125"/>
      <c r="FX20" s="125"/>
      <c r="FY20" s="125"/>
      <c r="FZ20" s="125"/>
      <c r="GA20" s="125"/>
      <c r="GB20" s="125"/>
      <c r="GC20" s="125"/>
      <c r="GD20" s="125"/>
      <c r="GE20" s="125"/>
      <c r="GF20" s="125"/>
      <c r="GG20" s="125"/>
      <c r="GH20" s="125"/>
      <c r="GI20" s="125"/>
      <c r="GJ20" s="125"/>
      <c r="GK20" s="125"/>
      <c r="GL20" s="125"/>
      <c r="GM20" s="125"/>
      <c r="GN20" s="125"/>
      <c r="GO20" s="125"/>
      <c r="GP20" s="125"/>
      <c r="GQ20" s="125"/>
      <c r="GR20" s="125"/>
      <c r="GS20" s="125"/>
      <c r="GT20" s="125"/>
      <c r="GU20" s="125"/>
      <c r="GV20" s="125"/>
      <c r="GW20" s="125"/>
      <c r="GX20" s="125"/>
      <c r="GY20" s="125"/>
      <c r="GZ20" s="125"/>
      <c r="HA20" s="125"/>
      <c r="HB20" s="125"/>
      <c r="HC20" s="125"/>
      <c r="HD20" s="125"/>
      <c r="HE20" s="125"/>
      <c r="HF20" s="125"/>
      <c r="HG20" s="125"/>
      <c r="HH20" s="125"/>
      <c r="HI20" s="125"/>
      <c r="HJ20" s="125"/>
      <c r="HK20" s="125"/>
      <c r="HL20" s="125"/>
      <c r="HM20" s="125"/>
      <c r="HN20" s="125"/>
      <c r="HO20" s="125"/>
      <c r="HP20" s="125"/>
      <c r="HQ20" s="125"/>
      <c r="HR20" s="125"/>
      <c r="HS20" s="125"/>
      <c r="HT20" s="125"/>
      <c r="HU20" s="125"/>
      <c r="HV20" s="125"/>
      <c r="HW20" s="125"/>
      <c r="HX20" s="125"/>
      <c r="HY20" s="125"/>
      <c r="HZ20" s="125"/>
      <c r="IA20" s="125"/>
      <c r="IB20" s="125"/>
      <c r="IC20" s="125"/>
      <c r="ID20" s="125"/>
      <c r="IE20" s="125"/>
      <c r="IF20" s="125"/>
      <c r="IG20" s="125"/>
      <c r="IH20" s="125"/>
      <c r="II20" s="125"/>
      <c r="IJ20" s="125"/>
      <c r="IK20" s="125"/>
      <c r="IL20" s="125"/>
      <c r="IM20" s="125"/>
      <c r="IN20" s="125"/>
      <c r="IO20" s="125"/>
      <c r="IP20" s="125"/>
      <c r="IQ20" s="125"/>
      <c r="IR20" s="125"/>
      <c r="IS20" s="125"/>
      <c r="IT20" s="125"/>
      <c r="IU20" s="125"/>
      <c r="IV20" s="125"/>
      <c r="IW20" s="125"/>
      <c r="IX20" s="125"/>
      <c r="IY20" s="125"/>
      <c r="IZ20" s="235"/>
      <c r="JA20" s="235"/>
      <c r="JB20" s="235"/>
      <c r="JC20" s="235"/>
      <c r="JD20" s="235"/>
      <c r="JE20" s="235"/>
      <c r="JF20" s="235"/>
      <c r="JG20" s="235"/>
      <c r="JH20" s="235"/>
      <c r="JI20" s="235"/>
      <c r="JJ20" s="235"/>
      <c r="JK20" s="235"/>
      <c r="JL20" s="235"/>
      <c r="JM20" s="235"/>
      <c r="JN20" s="235"/>
      <c r="JO20" s="235"/>
      <c r="JP20" s="235"/>
      <c r="JQ20" s="235"/>
      <c r="JR20" s="235"/>
      <c r="JS20" s="235"/>
      <c r="JT20" s="235"/>
      <c r="JU20" s="235"/>
      <c r="JV20" s="235"/>
      <c r="JW20" s="235"/>
      <c r="JX20" s="235"/>
      <c r="JY20" s="235"/>
      <c r="JZ20" s="235"/>
      <c r="KA20" s="235"/>
      <c r="KB20" s="235"/>
      <c r="KC20" s="235"/>
      <c r="KD20" s="235"/>
      <c r="KE20" s="235"/>
      <c r="KF20" s="235"/>
      <c r="KG20" s="235"/>
      <c r="KH20" s="235"/>
      <c r="KI20" s="235"/>
      <c r="KJ20" s="235"/>
      <c r="KK20" s="235"/>
      <c r="KL20" s="235"/>
      <c r="KM20" s="235"/>
      <c r="KN20" s="235"/>
      <c r="KO20" s="235"/>
      <c r="KP20" s="235"/>
      <c r="KQ20" s="235"/>
      <c r="KR20" s="235"/>
      <c r="KS20" s="235"/>
      <c r="KT20" s="235"/>
      <c r="KU20" s="235"/>
      <c r="KV20" s="235"/>
      <c r="KW20" s="235"/>
      <c r="KX20" s="235"/>
      <c r="KY20" s="235"/>
      <c r="KZ20" s="235"/>
      <c r="LA20" s="235"/>
      <c r="LB20" s="235"/>
      <c r="LC20" s="235"/>
      <c r="LD20" s="235"/>
      <c r="LE20" s="235"/>
      <c r="LF20" s="235"/>
      <c r="LG20" s="235"/>
      <c r="LH20" s="235"/>
      <c r="LI20" s="235"/>
      <c r="LJ20" s="235"/>
      <c r="LK20" s="235"/>
      <c r="LL20" s="235"/>
      <c r="LM20" s="235"/>
      <c r="LN20" s="235"/>
      <c r="LO20" s="235"/>
      <c r="LP20" s="235"/>
      <c r="LQ20" s="235"/>
      <c r="LR20" s="235"/>
      <c r="LS20" s="235"/>
      <c r="LT20" s="235"/>
      <c r="LU20" s="235"/>
      <c r="LV20" s="235"/>
      <c r="LW20" s="235"/>
      <c r="LX20" s="235"/>
      <c r="LY20" s="235"/>
      <c r="LZ20" s="235"/>
      <c r="MA20" s="235"/>
      <c r="MB20" s="235"/>
      <c r="MC20" s="235"/>
      <c r="MD20" s="235"/>
      <c r="ME20" s="235"/>
      <c r="MF20" s="235"/>
      <c r="MG20" s="235"/>
      <c r="MH20" s="235"/>
      <c r="MI20" s="235"/>
      <c r="MJ20" s="235"/>
      <c r="MK20" s="235"/>
      <c r="ML20" s="235"/>
      <c r="MM20" s="235"/>
      <c r="MN20" s="235"/>
      <c r="MO20" s="235"/>
      <c r="MP20" s="235"/>
      <c r="MQ20" s="235"/>
      <c r="MR20" s="235"/>
      <c r="MS20" s="235"/>
      <c r="MT20" s="235"/>
      <c r="MU20" s="235"/>
      <c r="MV20" s="235"/>
      <c r="MW20" s="235"/>
      <c r="MX20" s="235"/>
      <c r="MY20" s="235"/>
      <c r="MZ20" s="235"/>
      <c r="NA20" s="235"/>
      <c r="NB20" s="235"/>
      <c r="NC20" s="235"/>
      <c r="ND20" s="235"/>
      <c r="NE20" s="235"/>
      <c r="NF20" s="235"/>
      <c r="NG20" s="235"/>
      <c r="NH20" s="235"/>
      <c r="NI20" s="235"/>
      <c r="NJ20" s="235"/>
      <c r="NK20" s="235"/>
      <c r="NL20" s="235"/>
      <c r="NM20" s="235"/>
      <c r="NN20" s="235"/>
      <c r="NO20" s="235"/>
      <c r="NP20" s="235"/>
      <c r="NQ20" s="235"/>
      <c r="NR20" s="235"/>
      <c r="NS20" s="235"/>
      <c r="NT20" s="235"/>
      <c r="NU20" s="235"/>
      <c r="NV20" s="235"/>
      <c r="NW20" s="235"/>
      <c r="NX20" s="235"/>
      <c r="NY20" s="235"/>
      <c r="NZ20" s="235"/>
      <c r="OA20" s="235"/>
      <c r="OB20" s="235"/>
      <c r="OC20" s="235"/>
      <c r="OD20" s="235"/>
      <c r="OE20" s="235"/>
      <c r="OF20" s="235"/>
      <c r="OG20" s="235"/>
      <c r="OH20" s="235"/>
      <c r="OI20" s="235"/>
      <c r="OJ20" s="235"/>
      <c r="OK20" s="235"/>
      <c r="OL20" s="235"/>
      <c r="OM20" s="235"/>
      <c r="ON20" s="235"/>
      <c r="OO20" s="235"/>
      <c r="OP20" s="235"/>
      <c r="OQ20" s="235"/>
      <c r="OR20" s="235"/>
      <c r="OS20" s="235"/>
      <c r="OT20" s="235"/>
      <c r="OU20" s="235"/>
      <c r="OV20" s="235"/>
      <c r="OW20" s="235"/>
      <c r="OX20" s="235"/>
      <c r="OY20" s="235"/>
      <c r="OZ20" s="235"/>
      <c r="PA20" s="235"/>
      <c r="PB20" s="235"/>
      <c r="PC20" s="235"/>
      <c r="PD20" s="235"/>
      <c r="PE20" s="235"/>
      <c r="PF20" s="235"/>
      <c r="PG20" s="235"/>
      <c r="PH20" s="235"/>
      <c r="PI20" s="235"/>
      <c r="PJ20" s="235"/>
      <c r="PK20" s="235"/>
      <c r="PL20" s="235"/>
      <c r="PM20" s="235"/>
      <c r="PN20" s="235"/>
      <c r="PO20" s="235"/>
      <c r="PP20" s="235"/>
      <c r="PQ20" s="235"/>
      <c r="PR20" s="235"/>
      <c r="PS20" s="235"/>
      <c r="PT20" s="235"/>
      <c r="PU20" s="235"/>
      <c r="PV20" s="235"/>
      <c r="PW20" s="235"/>
      <c r="PX20" s="235"/>
      <c r="PY20" s="235"/>
      <c r="PZ20" s="235"/>
      <c r="QA20" s="235"/>
      <c r="QB20" s="235"/>
      <c r="QC20" s="235"/>
      <c r="QD20" s="235"/>
      <c r="QE20" s="235"/>
      <c r="QF20" s="235"/>
      <c r="QG20" s="235"/>
      <c r="QH20" s="235"/>
      <c r="QI20" s="235"/>
      <c r="QJ20" s="235"/>
      <c r="QK20" s="235"/>
      <c r="QL20" s="235"/>
      <c r="QM20" s="235"/>
      <c r="QN20" s="235"/>
      <c r="QO20" s="235"/>
      <c r="QP20" s="235"/>
      <c r="QQ20" s="235"/>
      <c r="QR20" s="235"/>
      <c r="QS20" s="235"/>
      <c r="QT20" s="235"/>
      <c r="QU20" s="235"/>
      <c r="QV20" s="235"/>
      <c r="QW20" s="235"/>
      <c r="QX20" s="235"/>
      <c r="QY20" s="235"/>
      <c r="QZ20" s="235"/>
      <c r="RA20" s="235"/>
      <c r="RB20" s="235"/>
      <c r="RC20" s="235"/>
      <c r="RD20" s="235"/>
      <c r="RE20" s="235"/>
      <c r="RF20" s="235"/>
      <c r="RG20" s="235"/>
      <c r="RH20" s="235"/>
      <c r="RI20" s="235"/>
      <c r="RJ20" s="235"/>
      <c r="RK20" s="235"/>
      <c r="RL20" s="235"/>
      <c r="RM20" s="235"/>
      <c r="RN20" s="235"/>
      <c r="RO20" s="235"/>
      <c r="RP20" s="235"/>
      <c r="RQ20" s="235"/>
      <c r="RR20" s="235"/>
      <c r="RS20" s="235"/>
      <c r="RT20" s="235"/>
      <c r="RU20" s="235"/>
      <c r="RV20" s="235"/>
      <c r="RW20" s="235"/>
      <c r="RX20" s="235"/>
      <c r="RY20" s="235"/>
      <c r="RZ20" s="235"/>
      <c r="SA20" s="235"/>
      <c r="SB20" s="235"/>
      <c r="SC20" s="235"/>
      <c r="SD20" s="235"/>
      <c r="SE20" s="235"/>
      <c r="SF20" s="235"/>
      <c r="SG20" s="235"/>
      <c r="SH20" s="235"/>
      <c r="SI20" s="235"/>
      <c r="SJ20" s="235"/>
      <c r="SK20" s="235"/>
      <c r="SL20" s="235"/>
      <c r="SM20" s="235"/>
      <c r="SN20" s="235"/>
      <c r="SO20" s="235"/>
      <c r="SP20" s="235"/>
      <c r="SQ20" s="235"/>
      <c r="SR20" s="235"/>
      <c r="SS20" s="235"/>
      <c r="ST20" s="235"/>
      <c r="SU20" s="235"/>
      <c r="SV20" s="235"/>
      <c r="SW20" s="235"/>
      <c r="SX20" s="235"/>
      <c r="SY20" s="235"/>
      <c r="SZ20" s="235"/>
      <c r="TA20" s="235"/>
      <c r="TB20" s="235"/>
      <c r="TC20" s="235"/>
      <c r="TD20" s="235"/>
      <c r="TE20" s="235"/>
      <c r="TF20" s="235"/>
      <c r="TG20" s="235"/>
      <c r="TH20" s="235"/>
      <c r="TI20" s="235"/>
      <c r="TJ20" s="235"/>
      <c r="TK20" s="235"/>
      <c r="TL20" s="235"/>
      <c r="TM20" s="235"/>
      <c r="TN20" s="235"/>
      <c r="TO20" s="235"/>
      <c r="TP20" s="235"/>
      <c r="TQ20" s="235"/>
      <c r="TR20" s="235"/>
      <c r="TS20" s="235"/>
      <c r="TT20" s="235"/>
      <c r="TU20" s="235"/>
      <c r="TV20" s="235"/>
      <c r="TW20" s="235"/>
      <c r="TX20" s="235"/>
      <c r="TY20" s="235"/>
      <c r="TZ20" s="235"/>
      <c r="UA20" s="235"/>
      <c r="UB20" s="235"/>
      <c r="UC20" s="235"/>
      <c r="UD20" s="235"/>
      <c r="UE20" s="235"/>
      <c r="UF20" s="235"/>
      <c r="UG20" s="235"/>
      <c r="UH20" s="235"/>
      <c r="UI20" s="235"/>
      <c r="UJ20" s="235"/>
      <c r="UK20" s="235"/>
      <c r="UL20" s="235"/>
      <c r="UM20" s="235"/>
      <c r="UN20" s="235"/>
      <c r="UO20" s="235"/>
      <c r="UP20" s="235"/>
      <c r="UQ20" s="235"/>
      <c r="UR20" s="235"/>
      <c r="US20" s="235"/>
      <c r="UT20" s="235"/>
      <c r="UU20" s="235"/>
      <c r="UV20" s="235"/>
      <c r="UW20" s="235"/>
      <c r="UX20" s="235"/>
      <c r="UY20" s="235"/>
      <c r="UZ20" s="235"/>
      <c r="VA20" s="235"/>
      <c r="VB20" s="235"/>
      <c r="VC20" s="235"/>
      <c r="VD20" s="235"/>
      <c r="VE20" s="235"/>
      <c r="VF20" s="235"/>
      <c r="VG20" s="235"/>
      <c r="VH20" s="235"/>
      <c r="VI20" s="235"/>
      <c r="VJ20" s="235"/>
      <c r="VK20" s="235"/>
      <c r="VL20" s="235"/>
      <c r="VM20" s="235"/>
      <c r="VN20" s="235"/>
      <c r="VO20" s="235"/>
      <c r="VP20" s="235"/>
      <c r="VQ20" s="235"/>
      <c r="VR20" s="235"/>
      <c r="VS20" s="235"/>
      <c r="VT20" s="235"/>
      <c r="VU20" s="235"/>
      <c r="VV20" s="235"/>
      <c r="VW20" s="235"/>
      <c r="VX20" s="235"/>
      <c r="VY20" s="235"/>
      <c r="VZ20" s="235"/>
      <c r="WA20" s="235"/>
      <c r="WB20" s="235"/>
      <c r="WC20" s="235"/>
      <c r="WD20" s="235"/>
      <c r="WE20" s="235"/>
      <c r="WF20" s="235"/>
      <c r="WG20" s="235"/>
      <c r="WH20" s="235"/>
      <c r="WI20" s="235"/>
      <c r="WJ20" s="235"/>
      <c r="WK20" s="235"/>
      <c r="WL20" s="235"/>
      <c r="WM20" s="235"/>
      <c r="WN20" s="235"/>
      <c r="WO20" s="235"/>
      <c r="WP20" s="235"/>
      <c r="WQ20" s="235"/>
      <c r="WR20" s="235"/>
      <c r="WS20" s="235"/>
      <c r="WT20" s="235"/>
      <c r="WU20" s="235"/>
      <c r="WV20" s="235"/>
      <c r="WW20" s="235"/>
      <c r="WX20" s="235"/>
      <c r="WY20" s="235"/>
      <c r="WZ20" s="235"/>
      <c r="XA20" s="235"/>
      <c r="XB20" s="235"/>
      <c r="XC20" s="235"/>
      <c r="XD20" s="235"/>
      <c r="XE20" s="235"/>
      <c r="XF20" s="235"/>
      <c r="XG20" s="235"/>
      <c r="XH20" s="235"/>
      <c r="XI20" s="235"/>
      <c r="XJ20" s="235"/>
      <c r="XK20" s="235"/>
      <c r="XL20" s="235"/>
      <c r="XM20" s="235"/>
      <c r="XN20" s="235"/>
      <c r="XO20" s="235"/>
      <c r="XP20" s="235"/>
      <c r="XQ20" s="235"/>
      <c r="XR20" s="235"/>
      <c r="XS20" s="235"/>
      <c r="XT20" s="235"/>
      <c r="XU20" s="235"/>
      <c r="XV20" s="235"/>
      <c r="XW20" s="235"/>
      <c r="XX20" s="235"/>
      <c r="XY20" s="235"/>
      <c r="XZ20" s="235"/>
      <c r="YA20" s="235"/>
      <c r="YB20" s="235"/>
      <c r="YC20" s="235"/>
      <c r="YD20" s="235"/>
      <c r="YE20" s="235"/>
      <c r="YF20" s="235"/>
      <c r="YG20" s="235"/>
      <c r="YH20" s="235"/>
      <c r="YI20" s="235"/>
      <c r="YJ20" s="235"/>
      <c r="YK20" s="235"/>
      <c r="YL20" s="235"/>
      <c r="YM20" s="235"/>
      <c r="YN20" s="235"/>
      <c r="YO20" s="235"/>
      <c r="YP20" s="235"/>
      <c r="YQ20" s="235"/>
      <c r="YR20" s="235"/>
      <c r="YS20" s="235"/>
      <c r="YT20" s="235"/>
      <c r="YU20" s="235"/>
      <c r="YV20" s="235"/>
      <c r="YW20" s="235"/>
      <c r="YX20" s="235"/>
      <c r="YY20" s="235"/>
      <c r="YZ20" s="235"/>
      <c r="ZA20" s="235"/>
      <c r="ZB20" s="235"/>
      <c r="ZC20" s="235"/>
      <c r="ZD20" s="235"/>
      <c r="ZE20" s="235"/>
      <c r="ZF20" s="235"/>
      <c r="ZG20" s="235"/>
      <c r="ZH20" s="235"/>
      <c r="ZI20" s="235"/>
      <c r="ZJ20" s="235"/>
      <c r="ZK20" s="235"/>
      <c r="ZL20" s="235"/>
      <c r="ZM20" s="235"/>
      <c r="ZN20" s="235"/>
      <c r="ZO20" s="235"/>
      <c r="ZP20" s="235"/>
      <c r="ZQ20" s="235"/>
      <c r="ZR20" s="235"/>
      <c r="ZS20" s="235"/>
      <c r="ZT20" s="235"/>
      <c r="ZU20" s="235"/>
      <c r="ZV20" s="235"/>
      <c r="ZW20" s="235"/>
      <c r="ZX20" s="235"/>
      <c r="ZY20" s="235"/>
      <c r="ZZ20" s="235"/>
      <c r="AAA20" s="235"/>
      <c r="AAB20" s="235"/>
      <c r="AAC20" s="235"/>
      <c r="AAD20" s="235"/>
      <c r="AAE20" s="235"/>
      <c r="AAF20" s="235"/>
      <c r="AAG20" s="235"/>
      <c r="AAH20" s="235"/>
      <c r="AAI20" s="235"/>
      <c r="AAJ20" s="235"/>
      <c r="AAK20" s="235"/>
      <c r="AAL20" s="235"/>
      <c r="AAM20" s="235"/>
      <c r="AAN20" s="235"/>
      <c r="AAO20" s="235"/>
      <c r="AAP20" s="235"/>
      <c r="AAQ20" s="235"/>
      <c r="AAR20" s="235"/>
      <c r="AAS20" s="235"/>
      <c r="AAT20" s="235"/>
      <c r="AAU20" s="235"/>
      <c r="AAV20" s="235"/>
      <c r="AAW20" s="235"/>
      <c r="AAX20" s="235"/>
      <c r="AAY20" s="235"/>
      <c r="AAZ20" s="235"/>
      <c r="ABA20" s="235"/>
      <c r="ABB20" s="235"/>
      <c r="ABC20" s="235"/>
      <c r="ABD20" s="235"/>
      <c r="ABE20" s="235"/>
      <c r="ABF20" s="235"/>
      <c r="ABG20" s="235"/>
      <c r="ABH20" s="235"/>
      <c r="ABI20" s="235"/>
      <c r="ABJ20" s="235"/>
      <c r="ABK20" s="235"/>
      <c r="ABL20" s="235"/>
      <c r="ABM20" s="235"/>
      <c r="ABN20" s="235"/>
      <c r="ABO20" s="235"/>
      <c r="ABP20" s="235"/>
      <c r="ABQ20" s="235"/>
      <c r="ABR20" s="235"/>
      <c r="ABS20" s="235"/>
      <c r="ABT20" s="235"/>
      <c r="ABU20" s="235"/>
      <c r="ABV20" s="235"/>
      <c r="ABW20" s="235"/>
      <c r="ABX20" s="235"/>
      <c r="ABY20" s="235"/>
      <c r="ABZ20" s="235"/>
      <c r="ACA20" s="235"/>
      <c r="ACB20" s="235"/>
      <c r="ACC20" s="235"/>
      <c r="ACD20" s="235"/>
      <c r="ACE20" s="235"/>
      <c r="ACF20" s="235"/>
      <c r="ACG20" s="235"/>
      <c r="ACH20" s="235"/>
      <c r="ACI20" s="235"/>
      <c r="ACJ20" s="235"/>
      <c r="ACK20" s="235"/>
      <c r="ACL20" s="235"/>
      <c r="ACM20" s="235"/>
      <c r="ACN20" s="235"/>
      <c r="ACO20" s="235"/>
      <c r="ACP20" s="235"/>
      <c r="ACQ20" s="235"/>
      <c r="ACR20" s="235"/>
      <c r="ACS20" s="235"/>
      <c r="ACT20" s="235"/>
      <c r="ACU20" s="235"/>
      <c r="ACV20" s="235"/>
      <c r="ACW20" s="235"/>
      <c r="ACX20" s="235"/>
      <c r="ACY20" s="235"/>
      <c r="ACZ20" s="235"/>
      <c r="ADA20" s="235"/>
      <c r="ADB20" s="235"/>
      <c r="ADC20" s="235"/>
      <c r="ADD20" s="235"/>
      <c r="ADE20" s="235"/>
      <c r="ADF20" s="235"/>
      <c r="ADG20" s="235"/>
      <c r="ADH20" s="235"/>
      <c r="ADI20" s="235"/>
      <c r="ADJ20" s="235"/>
      <c r="ADK20" s="235"/>
      <c r="ADL20" s="235"/>
      <c r="ADM20" s="235"/>
      <c r="ADN20" s="235"/>
      <c r="ADO20" s="235"/>
      <c r="ADP20" s="235"/>
      <c r="ADQ20" s="235"/>
      <c r="ADR20" s="235"/>
      <c r="ADS20" s="235"/>
      <c r="ADT20" s="235"/>
      <c r="ADU20" s="235"/>
      <c r="ADV20" s="235"/>
      <c r="ADW20" s="235"/>
      <c r="ADX20" s="235"/>
      <c r="ADY20" s="235"/>
      <c r="ADZ20" s="235"/>
      <c r="AEA20" s="235"/>
      <c r="AEB20" s="235"/>
      <c r="AEC20" s="235"/>
      <c r="AED20" s="235"/>
      <c r="AEE20" s="235"/>
      <c r="AEF20" s="235"/>
      <c r="AEG20" s="235"/>
      <c r="AEH20" s="235"/>
      <c r="AEI20" s="235"/>
      <c r="AEJ20" s="235"/>
      <c r="AEK20" s="235"/>
      <c r="AEL20" s="235"/>
      <c r="AEM20" s="235"/>
      <c r="AEN20" s="235"/>
      <c r="AEO20" s="235"/>
      <c r="AEP20" s="235"/>
      <c r="AEQ20" s="235"/>
      <c r="AER20" s="235"/>
      <c r="AES20" s="235"/>
      <c r="AET20" s="235"/>
      <c r="AEU20" s="235"/>
      <c r="AEV20" s="235"/>
      <c r="AEW20" s="235"/>
      <c r="AEX20" s="235"/>
      <c r="AEY20" s="235"/>
      <c r="AEZ20" s="235"/>
      <c r="AFA20" s="235"/>
      <c r="AFB20" s="235"/>
      <c r="AFC20" s="235"/>
      <c r="AFD20" s="235"/>
      <c r="AFE20" s="235"/>
      <c r="AFF20" s="235"/>
      <c r="AFG20" s="235"/>
      <c r="AFH20" s="235"/>
      <c r="AFI20" s="235"/>
      <c r="AFJ20" s="235"/>
      <c r="AFK20" s="235"/>
      <c r="AFL20" s="235"/>
      <c r="AFM20" s="235"/>
      <c r="AFN20" s="235"/>
      <c r="AFO20" s="235"/>
      <c r="AFP20" s="235"/>
      <c r="AFQ20" s="235"/>
      <c r="AFR20" s="235"/>
      <c r="AFS20" s="235"/>
      <c r="AFT20" s="235"/>
      <c r="AFU20" s="235"/>
      <c r="AFV20" s="235"/>
      <c r="AFW20" s="235"/>
      <c r="AFX20" s="235"/>
      <c r="AFY20" s="235"/>
      <c r="AFZ20" s="235"/>
      <c r="AGA20" s="235"/>
      <c r="AGB20" s="235"/>
      <c r="AGC20" s="235"/>
      <c r="AGD20" s="235"/>
      <c r="AGE20" s="235"/>
      <c r="AGF20" s="235"/>
      <c r="AGG20" s="235"/>
      <c r="AGH20" s="235"/>
      <c r="AGI20" s="235"/>
      <c r="AGJ20" s="235"/>
      <c r="AGK20" s="235"/>
      <c r="AGL20" s="235"/>
      <c r="AGM20" s="235"/>
      <c r="AGN20" s="235"/>
      <c r="AGO20" s="235"/>
      <c r="AGP20" s="235"/>
      <c r="AGQ20" s="235"/>
      <c r="AGR20" s="235"/>
      <c r="AGS20" s="235"/>
      <c r="AGT20" s="235"/>
      <c r="AGU20" s="235"/>
      <c r="AGV20" s="235"/>
      <c r="AGW20" s="235"/>
      <c r="AGX20" s="235"/>
      <c r="AGY20" s="235"/>
      <c r="AGZ20" s="235"/>
      <c r="AHA20" s="235"/>
      <c r="AHB20" s="235"/>
      <c r="AHC20" s="235"/>
      <c r="AHD20" s="235"/>
      <c r="AHE20" s="235"/>
      <c r="AHF20" s="235"/>
      <c r="AHG20" s="235"/>
      <c r="AHH20" s="235"/>
      <c r="AHI20" s="235"/>
      <c r="AHJ20" s="235"/>
      <c r="AHK20" s="235"/>
      <c r="AHL20" s="235"/>
      <c r="AHM20" s="235"/>
      <c r="AHN20" s="235"/>
      <c r="AHO20" s="235"/>
      <c r="AHP20" s="235"/>
      <c r="AHQ20" s="235"/>
      <c r="AHR20" s="235"/>
      <c r="AHS20" s="235"/>
      <c r="AHT20" s="235"/>
      <c r="AHU20" s="235"/>
      <c r="AHV20" s="235"/>
      <c r="AHW20" s="235"/>
      <c r="AHX20" s="235"/>
      <c r="AHY20" s="235"/>
      <c r="AHZ20" s="235"/>
      <c r="AIA20" s="235"/>
      <c r="AIB20" s="235"/>
      <c r="AIC20" s="235"/>
      <c r="AID20" s="235"/>
      <c r="AIE20" s="235"/>
      <c r="AIF20" s="235"/>
      <c r="AIG20" s="235"/>
      <c r="AIH20" s="235"/>
      <c r="AII20" s="235"/>
      <c r="AIJ20" s="235"/>
      <c r="AIK20" s="235"/>
      <c r="AIL20" s="235"/>
      <c r="AIM20" s="235"/>
      <c r="AIN20" s="235"/>
      <c r="AIO20" s="235"/>
      <c r="AIP20" s="235"/>
      <c r="AIQ20" s="235"/>
      <c r="AIR20" s="235"/>
      <c r="AIS20" s="235"/>
      <c r="AIT20" s="235"/>
      <c r="AIU20" s="235"/>
      <c r="AIV20" s="235"/>
      <c r="AIW20" s="235"/>
      <c r="AIX20" s="235"/>
      <c r="AIY20" s="235"/>
      <c r="AIZ20" s="235"/>
      <c r="AJA20" s="235"/>
      <c r="AJB20" s="235"/>
      <c r="AJC20" s="235"/>
      <c r="AJD20" s="235"/>
      <c r="AJE20" s="235"/>
      <c r="AJF20" s="235"/>
      <c r="AJG20" s="235"/>
      <c r="AJH20" s="235"/>
      <c r="AJI20" s="235"/>
      <c r="AJJ20" s="235"/>
      <c r="AJK20" s="235"/>
      <c r="AJL20" s="235"/>
      <c r="AJM20" s="235"/>
      <c r="AJN20" s="235"/>
      <c r="AJO20" s="235"/>
      <c r="AJP20" s="235"/>
      <c r="AJQ20" s="235"/>
      <c r="AJR20" s="235"/>
      <c r="AJS20" s="235"/>
      <c r="AJT20" s="235"/>
      <c r="AJU20" s="235"/>
      <c r="AJV20" s="235"/>
      <c r="AJW20" s="235"/>
      <c r="AJX20" s="235"/>
      <c r="AJY20" s="235"/>
      <c r="AJZ20" s="235"/>
      <c r="AKA20" s="235"/>
      <c r="AKB20" s="235"/>
      <c r="AKC20" s="235"/>
      <c r="AKD20" s="235"/>
      <c r="AKE20" s="235"/>
      <c r="AKF20" s="235"/>
      <c r="AKG20" s="235"/>
      <c r="AKH20" s="235"/>
      <c r="AKI20" s="235"/>
      <c r="AKJ20" s="235"/>
      <c r="AKK20" s="235"/>
      <c r="AKL20" s="235"/>
      <c r="AKM20" s="235"/>
      <c r="AKN20" s="235"/>
      <c r="AKO20" s="235"/>
      <c r="AKP20" s="235"/>
      <c r="AKQ20" s="235"/>
      <c r="AKR20" s="235"/>
      <c r="AKS20" s="235"/>
      <c r="AKT20" s="235"/>
      <c r="AKU20" s="235"/>
      <c r="AKV20" s="235"/>
      <c r="AKW20" s="235"/>
      <c r="AKX20" s="235"/>
      <c r="AKY20" s="235"/>
      <c r="AKZ20" s="235"/>
      <c r="ALA20" s="235"/>
      <c r="ALB20" s="235"/>
      <c r="ALC20" s="235"/>
      <c r="ALD20" s="235"/>
      <c r="ALE20" s="235"/>
      <c r="ALF20" s="235"/>
      <c r="ALG20" s="235"/>
      <c r="ALH20" s="235"/>
      <c r="ALI20" s="235"/>
      <c r="ALJ20" s="235"/>
      <c r="ALK20" s="235"/>
      <c r="ALL20" s="235"/>
      <c r="ALM20" s="235"/>
      <c r="ALN20" s="235"/>
      <c r="ALO20" s="235"/>
      <c r="ALP20" s="235"/>
      <c r="ALQ20" s="235"/>
      <c r="ALR20" s="235"/>
      <c r="ALS20" s="235"/>
      <c r="ALT20" s="235"/>
      <c r="ALU20" s="235"/>
      <c r="ALV20" s="235"/>
      <c r="ALW20" s="235"/>
      <c r="ALX20" s="235"/>
      <c r="ALY20" s="235"/>
      <c r="ALZ20" s="235"/>
      <c r="AMA20" s="235"/>
      <c r="AMB20" s="235"/>
      <c r="AMC20" s="235"/>
      <c r="AMD20" s="235"/>
      <c r="AME20" s="235"/>
      <c r="AMF20" s="235"/>
      <c r="AMG20" s="235"/>
      <c r="AMH20" s="235"/>
      <c r="AMI20" s="235"/>
      <c r="AMJ20" s="235"/>
    </row>
    <row r="21" customFormat="false" ht="18" hidden="false" customHeight="true" outlineLevel="0" collapsed="false">
      <c r="B21" s="229" t="s">
        <v>22</v>
      </c>
      <c r="C21" s="229" t="s">
        <v>22</v>
      </c>
      <c r="D21" s="230" t="s">
        <v>139</v>
      </c>
      <c r="E21" s="231" t="s">
        <v>278</v>
      </c>
      <c r="F21" s="67" t="n">
        <f aca="false">(43*2)/60</f>
        <v>1.43333333333333</v>
      </c>
      <c r="G21" s="232" t="n">
        <v>0.03</v>
      </c>
      <c r="H21" s="232" t="n">
        <f aca="false">HLOOKUP(G21,BDI!$D$19:$J$30,12,)</f>
        <v>0.2849</v>
      </c>
      <c r="I21" s="233" t="n">
        <v>2263.27</v>
      </c>
      <c r="J21" s="233" t="n">
        <v>729.05</v>
      </c>
      <c r="K21" s="233" t="n">
        <v>578.15</v>
      </c>
      <c r="L21" s="233" t="n">
        <v>956.07</v>
      </c>
      <c r="M21" s="233" t="s">
        <v>259</v>
      </c>
      <c r="N21" s="233" t="s">
        <v>261</v>
      </c>
    </row>
    <row r="22" customFormat="false" ht="18" hidden="false" customHeight="true" outlineLevel="0" collapsed="false">
      <c r="B22" s="229" t="s">
        <v>22</v>
      </c>
      <c r="C22" s="229" t="s">
        <v>22</v>
      </c>
      <c r="D22" s="230" t="s">
        <v>131</v>
      </c>
      <c r="E22" s="231" t="s">
        <v>279</v>
      </c>
      <c r="F22" s="67" t="n">
        <f aca="false">(6*2)/60</f>
        <v>0.2</v>
      </c>
      <c r="G22" s="232" t="n">
        <v>0.02</v>
      </c>
      <c r="H22" s="232" t="n">
        <f aca="false">HLOOKUP(G22,BDI!$D$19:$J$30,12,)</f>
        <v>0.2707</v>
      </c>
      <c r="I22" s="233" t="n">
        <v>726.75</v>
      </c>
      <c r="J22" s="233" t="n">
        <v>644.1</v>
      </c>
      <c r="K22" s="233" t="n">
        <v>82.65</v>
      </c>
      <c r="L22" s="233" t="n">
        <v>0</v>
      </c>
      <c r="M22" s="233" t="s">
        <v>259</v>
      </c>
      <c r="N22" s="233" t="s">
        <v>259</v>
      </c>
    </row>
    <row r="23" s="235" customFormat="true" ht="18" hidden="false" customHeight="true" outlineLevel="0" collapsed="false">
      <c r="B23" s="229" t="s">
        <v>22</v>
      </c>
      <c r="C23" s="229" t="s">
        <v>22</v>
      </c>
      <c r="D23" s="230" t="s">
        <v>137</v>
      </c>
      <c r="E23" s="231" t="s">
        <v>280</v>
      </c>
      <c r="F23" s="67" t="n">
        <f aca="false">(18*2)/60</f>
        <v>0.6</v>
      </c>
      <c r="G23" s="232" t="n">
        <v>0.025</v>
      </c>
      <c r="H23" s="232" t="n">
        <f aca="false">HLOOKUP(G23,BDI!$D$19:$J$30,12,)</f>
        <v>0.2778</v>
      </c>
      <c r="I23" s="233" t="n">
        <v>334.4</v>
      </c>
      <c r="J23" s="233" t="n">
        <v>296</v>
      </c>
      <c r="K23" s="233" t="n">
        <v>38.4</v>
      </c>
      <c r="L23" s="233" t="n">
        <v>0</v>
      </c>
      <c r="M23" s="233" t="s">
        <v>259</v>
      </c>
      <c r="N23" s="233" t="s">
        <v>259</v>
      </c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  <c r="IP23" s="18"/>
      <c r="IQ23" s="18"/>
      <c r="IR23" s="18"/>
      <c r="IS23" s="18"/>
      <c r="IT23" s="18"/>
      <c r="IU23" s="18"/>
      <c r="IV23" s="18"/>
      <c r="IW23" s="18"/>
      <c r="IX23" s="18"/>
      <c r="IY23" s="18"/>
    </row>
    <row r="24" s="235" customFormat="true" ht="18" hidden="false" customHeight="true" outlineLevel="0" collapsed="false">
      <c r="B24" s="229" t="s">
        <v>22</v>
      </c>
      <c r="C24" s="229" t="s">
        <v>22</v>
      </c>
      <c r="D24" s="230" t="s">
        <v>138</v>
      </c>
      <c r="E24" s="231" t="s">
        <v>281</v>
      </c>
      <c r="F24" s="67" t="n">
        <f aca="false">(16*2)/60</f>
        <v>0.533333333333333</v>
      </c>
      <c r="G24" s="232" t="n">
        <v>0.03</v>
      </c>
      <c r="H24" s="232" t="n">
        <f aca="false">HLOOKUP(G24,BDI!$D$19:$J$30,12,)</f>
        <v>0.2849</v>
      </c>
      <c r="I24" s="233" t="n">
        <v>2884.09</v>
      </c>
      <c r="J24" s="233" t="n">
        <v>0</v>
      </c>
      <c r="K24" s="233" t="n">
        <v>0</v>
      </c>
      <c r="L24" s="233" t="n">
        <v>2884.09</v>
      </c>
      <c r="M24" s="233" t="s">
        <v>259</v>
      </c>
      <c r="N24" s="233" t="s">
        <v>261</v>
      </c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  <c r="FB24" s="18"/>
      <c r="FC24" s="18"/>
      <c r="FD24" s="18"/>
      <c r="FE24" s="18"/>
      <c r="FF24" s="18"/>
      <c r="FG24" s="18"/>
      <c r="FH24" s="18"/>
      <c r="FI24" s="18"/>
      <c r="FJ24" s="18"/>
      <c r="FK24" s="18"/>
      <c r="FL24" s="18"/>
      <c r="FM24" s="18"/>
      <c r="FN24" s="18"/>
      <c r="FO24" s="18"/>
      <c r="FP24" s="18"/>
      <c r="FQ24" s="18"/>
      <c r="FR24" s="18"/>
      <c r="FS24" s="18"/>
      <c r="FT24" s="18"/>
      <c r="FU24" s="18"/>
      <c r="FV24" s="18"/>
      <c r="FW24" s="18"/>
      <c r="FX24" s="18"/>
      <c r="FY24" s="18"/>
      <c r="FZ24" s="18"/>
      <c r="GA24" s="18"/>
      <c r="GB24" s="18"/>
      <c r="GC24" s="18"/>
      <c r="GD24" s="18"/>
      <c r="GE24" s="18"/>
      <c r="GF24" s="18"/>
      <c r="GG24" s="18"/>
      <c r="GH24" s="18"/>
      <c r="GI24" s="18"/>
      <c r="GJ24" s="18"/>
      <c r="GK24" s="18"/>
      <c r="GL24" s="18"/>
      <c r="GM24" s="18"/>
      <c r="GN24" s="18"/>
      <c r="GO24" s="18"/>
      <c r="GP24" s="18"/>
      <c r="GQ24" s="18"/>
      <c r="GR24" s="18"/>
      <c r="GS24" s="18"/>
      <c r="GT24" s="18"/>
      <c r="GU24" s="18"/>
      <c r="GV24" s="18"/>
      <c r="GW24" s="18"/>
      <c r="GX24" s="18"/>
      <c r="GY24" s="18"/>
      <c r="GZ24" s="18"/>
      <c r="HA24" s="18"/>
      <c r="HB24" s="18"/>
      <c r="HC24" s="18"/>
      <c r="HD24" s="18"/>
      <c r="HE24" s="18"/>
      <c r="HF24" s="18"/>
      <c r="HG24" s="18"/>
      <c r="HH24" s="18"/>
      <c r="HI24" s="18"/>
      <c r="HJ24" s="18"/>
      <c r="HK24" s="18"/>
      <c r="HL24" s="18"/>
      <c r="HM24" s="18"/>
      <c r="HN24" s="18"/>
      <c r="HO24" s="18"/>
      <c r="HP24" s="18"/>
      <c r="HQ24" s="18"/>
      <c r="HR24" s="18"/>
      <c r="HS24" s="18"/>
      <c r="HT24" s="18"/>
      <c r="HU24" s="18"/>
      <c r="HV24" s="18"/>
      <c r="HW24" s="18"/>
      <c r="HX24" s="18"/>
      <c r="HY24" s="18"/>
      <c r="HZ24" s="18"/>
      <c r="IA24" s="18"/>
      <c r="IB24" s="18"/>
      <c r="IC24" s="18"/>
      <c r="ID24" s="18"/>
      <c r="IE24" s="18"/>
      <c r="IF24" s="18"/>
      <c r="IG24" s="18"/>
      <c r="IH24" s="18"/>
      <c r="II24" s="18"/>
      <c r="IJ24" s="18"/>
      <c r="IK24" s="18"/>
      <c r="IL24" s="18"/>
      <c r="IM24" s="18"/>
      <c r="IN24" s="18"/>
      <c r="IO24" s="18"/>
      <c r="IP24" s="18"/>
      <c r="IQ24" s="18"/>
      <c r="IR24" s="18"/>
      <c r="IS24" s="18"/>
      <c r="IT24" s="18"/>
      <c r="IU24" s="18"/>
      <c r="IV24" s="18"/>
      <c r="IW24" s="18"/>
      <c r="IX24" s="18"/>
      <c r="IY24" s="18"/>
    </row>
    <row r="25" customFormat="false" ht="18" hidden="false" customHeight="true" outlineLevel="0" collapsed="false">
      <c r="A25" s="235"/>
      <c r="B25" s="237" t="s">
        <v>22</v>
      </c>
      <c r="C25" s="237" t="s">
        <v>22</v>
      </c>
      <c r="D25" s="238" t="s">
        <v>140</v>
      </c>
      <c r="E25" s="231" t="s">
        <v>282</v>
      </c>
      <c r="F25" s="239" t="n">
        <f aca="false">(36*2)/60</f>
        <v>1.2</v>
      </c>
      <c r="G25" s="232" t="n">
        <v>0.03</v>
      </c>
      <c r="H25" s="232" t="n">
        <f aca="false">HLOOKUP(G25,BDI!$D$19:$J$30,12,)</f>
        <v>0.2849</v>
      </c>
      <c r="I25" s="240" t="n">
        <v>1082.18</v>
      </c>
      <c r="J25" s="240" t="n">
        <v>0</v>
      </c>
      <c r="K25" s="240" t="n">
        <v>0</v>
      </c>
      <c r="L25" s="240" t="n">
        <v>1082.18</v>
      </c>
      <c r="M25" s="240" t="s">
        <v>259</v>
      </c>
      <c r="N25" s="240" t="s">
        <v>261</v>
      </c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  <c r="BE25" s="125"/>
      <c r="BF25" s="125"/>
      <c r="BG25" s="125"/>
      <c r="BH25" s="125"/>
      <c r="BI25" s="125"/>
      <c r="BJ25" s="125"/>
      <c r="BK25" s="125"/>
      <c r="BL25" s="125"/>
      <c r="BM25" s="125"/>
      <c r="BN25" s="125"/>
      <c r="BO25" s="125"/>
      <c r="BP25" s="125"/>
      <c r="BQ25" s="125"/>
      <c r="BR25" s="125"/>
      <c r="BS25" s="125"/>
      <c r="BT25" s="125"/>
      <c r="BU25" s="125"/>
      <c r="BV25" s="125"/>
      <c r="BW25" s="125"/>
      <c r="BX25" s="125"/>
      <c r="BY25" s="125"/>
      <c r="BZ25" s="125"/>
      <c r="CA25" s="125"/>
      <c r="CB25" s="125"/>
      <c r="CC25" s="125"/>
      <c r="CD25" s="125"/>
      <c r="CE25" s="125"/>
      <c r="CF25" s="125"/>
      <c r="CG25" s="125"/>
      <c r="CH25" s="125"/>
      <c r="CI25" s="125"/>
      <c r="CJ25" s="125"/>
      <c r="CK25" s="125"/>
      <c r="CL25" s="125"/>
      <c r="CM25" s="125"/>
      <c r="CN25" s="125"/>
      <c r="CO25" s="125"/>
      <c r="CP25" s="125"/>
      <c r="CQ25" s="125"/>
      <c r="CR25" s="125"/>
      <c r="CS25" s="125"/>
      <c r="CT25" s="125"/>
      <c r="CU25" s="125"/>
      <c r="CV25" s="125"/>
      <c r="CW25" s="125"/>
      <c r="CX25" s="125"/>
      <c r="CY25" s="125"/>
      <c r="CZ25" s="125"/>
      <c r="DA25" s="125"/>
      <c r="DB25" s="125"/>
      <c r="DC25" s="125"/>
      <c r="DD25" s="125"/>
      <c r="DE25" s="125"/>
      <c r="DF25" s="125"/>
      <c r="DG25" s="125"/>
      <c r="DH25" s="125"/>
      <c r="DI25" s="125"/>
      <c r="DJ25" s="125"/>
      <c r="DK25" s="125"/>
      <c r="DL25" s="125"/>
      <c r="DM25" s="125"/>
      <c r="DN25" s="125"/>
      <c r="DO25" s="125"/>
      <c r="DP25" s="125"/>
      <c r="DQ25" s="125"/>
      <c r="DR25" s="125"/>
      <c r="DS25" s="125"/>
      <c r="DT25" s="125"/>
      <c r="DU25" s="125"/>
      <c r="DV25" s="125"/>
      <c r="DW25" s="125"/>
      <c r="DX25" s="125"/>
      <c r="DY25" s="125"/>
      <c r="DZ25" s="125"/>
      <c r="EA25" s="125"/>
      <c r="EB25" s="125"/>
      <c r="EC25" s="125"/>
      <c r="ED25" s="125"/>
      <c r="EE25" s="125"/>
      <c r="EF25" s="125"/>
      <c r="EG25" s="125"/>
      <c r="EH25" s="125"/>
      <c r="EI25" s="125"/>
      <c r="EJ25" s="125"/>
      <c r="EK25" s="125"/>
      <c r="EL25" s="125"/>
      <c r="EM25" s="125"/>
      <c r="EN25" s="125"/>
      <c r="EO25" s="125"/>
      <c r="EP25" s="125"/>
      <c r="EQ25" s="125"/>
      <c r="ER25" s="125"/>
      <c r="ES25" s="125"/>
      <c r="ET25" s="125"/>
      <c r="EU25" s="125"/>
      <c r="EV25" s="125"/>
      <c r="EW25" s="125"/>
      <c r="EX25" s="125"/>
      <c r="EY25" s="125"/>
      <c r="EZ25" s="125"/>
      <c r="FA25" s="125"/>
      <c r="FB25" s="125"/>
      <c r="FC25" s="125"/>
      <c r="FD25" s="125"/>
      <c r="FE25" s="125"/>
      <c r="FF25" s="125"/>
      <c r="FG25" s="125"/>
      <c r="FH25" s="125"/>
      <c r="FI25" s="125"/>
      <c r="FJ25" s="125"/>
      <c r="FK25" s="125"/>
      <c r="FL25" s="125"/>
      <c r="FM25" s="125"/>
      <c r="FN25" s="125"/>
      <c r="FO25" s="125"/>
      <c r="FP25" s="125"/>
      <c r="FQ25" s="125"/>
      <c r="FR25" s="125"/>
      <c r="FS25" s="125"/>
      <c r="FT25" s="125"/>
      <c r="FU25" s="125"/>
      <c r="FV25" s="125"/>
      <c r="FW25" s="125"/>
      <c r="FX25" s="125"/>
      <c r="FY25" s="125"/>
      <c r="FZ25" s="125"/>
      <c r="GA25" s="125"/>
      <c r="GB25" s="125"/>
      <c r="GC25" s="125"/>
      <c r="GD25" s="125"/>
      <c r="GE25" s="125"/>
      <c r="GF25" s="125"/>
      <c r="GG25" s="125"/>
      <c r="GH25" s="125"/>
      <c r="GI25" s="125"/>
      <c r="GJ25" s="125"/>
      <c r="GK25" s="125"/>
      <c r="GL25" s="125"/>
      <c r="GM25" s="125"/>
      <c r="GN25" s="125"/>
      <c r="GO25" s="125"/>
      <c r="GP25" s="125"/>
      <c r="GQ25" s="125"/>
      <c r="GR25" s="125"/>
      <c r="GS25" s="125"/>
      <c r="GT25" s="125"/>
      <c r="GU25" s="125"/>
      <c r="GV25" s="125"/>
      <c r="GW25" s="125"/>
      <c r="GX25" s="125"/>
      <c r="GY25" s="125"/>
      <c r="GZ25" s="125"/>
      <c r="HA25" s="125"/>
      <c r="HB25" s="125"/>
      <c r="HC25" s="125"/>
      <c r="HD25" s="125"/>
      <c r="HE25" s="125"/>
      <c r="HF25" s="125"/>
      <c r="HG25" s="125"/>
      <c r="HH25" s="125"/>
      <c r="HI25" s="125"/>
      <c r="HJ25" s="125"/>
      <c r="HK25" s="125"/>
      <c r="HL25" s="125"/>
      <c r="HM25" s="125"/>
      <c r="HN25" s="125"/>
      <c r="HO25" s="125"/>
      <c r="HP25" s="125"/>
      <c r="HQ25" s="125"/>
      <c r="HR25" s="125"/>
      <c r="HS25" s="125"/>
      <c r="HT25" s="125"/>
      <c r="HU25" s="125"/>
      <c r="HV25" s="125"/>
      <c r="HW25" s="125"/>
      <c r="HX25" s="125"/>
      <c r="HY25" s="125"/>
      <c r="HZ25" s="125"/>
      <c r="IA25" s="125"/>
      <c r="IB25" s="125"/>
      <c r="IC25" s="125"/>
      <c r="ID25" s="125"/>
      <c r="IE25" s="125"/>
      <c r="IF25" s="125"/>
      <c r="IG25" s="125"/>
      <c r="IH25" s="125"/>
      <c r="II25" s="125"/>
      <c r="IJ25" s="125"/>
      <c r="IK25" s="125"/>
      <c r="IL25" s="125"/>
      <c r="IM25" s="125"/>
      <c r="IN25" s="125"/>
      <c r="IO25" s="125"/>
      <c r="IP25" s="125"/>
      <c r="IQ25" s="125"/>
      <c r="IR25" s="125"/>
      <c r="IS25" s="125"/>
      <c r="IT25" s="125"/>
      <c r="IU25" s="125"/>
      <c r="IV25" s="125"/>
      <c r="IW25" s="125"/>
      <c r="IX25" s="125"/>
      <c r="IY25" s="125"/>
      <c r="IZ25" s="235"/>
      <c r="JA25" s="235"/>
      <c r="JB25" s="235"/>
      <c r="JC25" s="235"/>
      <c r="JD25" s="235"/>
      <c r="JE25" s="235"/>
      <c r="JF25" s="235"/>
      <c r="JG25" s="235"/>
      <c r="JH25" s="235"/>
      <c r="JI25" s="235"/>
      <c r="JJ25" s="235"/>
      <c r="JK25" s="235"/>
      <c r="JL25" s="235"/>
      <c r="JM25" s="235"/>
      <c r="JN25" s="235"/>
      <c r="JO25" s="235"/>
      <c r="JP25" s="235"/>
      <c r="JQ25" s="235"/>
      <c r="JR25" s="235"/>
      <c r="JS25" s="235"/>
      <c r="JT25" s="235"/>
      <c r="JU25" s="235"/>
      <c r="JV25" s="235"/>
      <c r="JW25" s="235"/>
      <c r="JX25" s="235"/>
      <c r="JY25" s="235"/>
      <c r="JZ25" s="235"/>
      <c r="KA25" s="235"/>
      <c r="KB25" s="235"/>
      <c r="KC25" s="235"/>
      <c r="KD25" s="235"/>
      <c r="KE25" s="235"/>
      <c r="KF25" s="235"/>
      <c r="KG25" s="235"/>
      <c r="KH25" s="235"/>
      <c r="KI25" s="235"/>
      <c r="KJ25" s="235"/>
      <c r="KK25" s="235"/>
      <c r="KL25" s="235"/>
      <c r="KM25" s="235"/>
      <c r="KN25" s="235"/>
      <c r="KO25" s="235"/>
      <c r="KP25" s="235"/>
      <c r="KQ25" s="235"/>
      <c r="KR25" s="235"/>
      <c r="KS25" s="235"/>
      <c r="KT25" s="235"/>
      <c r="KU25" s="235"/>
      <c r="KV25" s="235"/>
      <c r="KW25" s="235"/>
      <c r="KX25" s="235"/>
      <c r="KY25" s="235"/>
      <c r="KZ25" s="235"/>
      <c r="LA25" s="235"/>
      <c r="LB25" s="235"/>
      <c r="LC25" s="235"/>
      <c r="LD25" s="235"/>
      <c r="LE25" s="235"/>
      <c r="LF25" s="235"/>
      <c r="LG25" s="235"/>
      <c r="LH25" s="235"/>
      <c r="LI25" s="235"/>
      <c r="LJ25" s="235"/>
      <c r="LK25" s="235"/>
      <c r="LL25" s="235"/>
      <c r="LM25" s="235"/>
      <c r="LN25" s="235"/>
      <c r="LO25" s="235"/>
      <c r="LP25" s="235"/>
      <c r="LQ25" s="235"/>
      <c r="LR25" s="235"/>
      <c r="LS25" s="235"/>
      <c r="LT25" s="235"/>
      <c r="LU25" s="235"/>
      <c r="LV25" s="235"/>
      <c r="LW25" s="235"/>
      <c r="LX25" s="235"/>
      <c r="LY25" s="235"/>
      <c r="LZ25" s="235"/>
      <c r="MA25" s="235"/>
      <c r="MB25" s="235"/>
      <c r="MC25" s="235"/>
      <c r="MD25" s="235"/>
      <c r="ME25" s="235"/>
      <c r="MF25" s="235"/>
      <c r="MG25" s="235"/>
      <c r="MH25" s="235"/>
      <c r="MI25" s="235"/>
      <c r="MJ25" s="235"/>
      <c r="MK25" s="235"/>
      <c r="ML25" s="235"/>
      <c r="MM25" s="235"/>
      <c r="MN25" s="235"/>
      <c r="MO25" s="235"/>
      <c r="MP25" s="235"/>
      <c r="MQ25" s="235"/>
      <c r="MR25" s="235"/>
      <c r="MS25" s="235"/>
      <c r="MT25" s="235"/>
      <c r="MU25" s="235"/>
      <c r="MV25" s="235"/>
      <c r="MW25" s="235"/>
      <c r="MX25" s="235"/>
      <c r="MY25" s="235"/>
      <c r="MZ25" s="235"/>
      <c r="NA25" s="235"/>
      <c r="NB25" s="235"/>
      <c r="NC25" s="235"/>
      <c r="ND25" s="235"/>
      <c r="NE25" s="235"/>
      <c r="NF25" s="235"/>
      <c r="NG25" s="235"/>
      <c r="NH25" s="235"/>
      <c r="NI25" s="235"/>
      <c r="NJ25" s="235"/>
      <c r="NK25" s="235"/>
      <c r="NL25" s="235"/>
      <c r="NM25" s="235"/>
      <c r="NN25" s="235"/>
      <c r="NO25" s="235"/>
      <c r="NP25" s="235"/>
      <c r="NQ25" s="235"/>
      <c r="NR25" s="235"/>
      <c r="NS25" s="235"/>
      <c r="NT25" s="235"/>
      <c r="NU25" s="235"/>
      <c r="NV25" s="235"/>
      <c r="NW25" s="235"/>
      <c r="NX25" s="235"/>
      <c r="NY25" s="235"/>
      <c r="NZ25" s="235"/>
      <c r="OA25" s="235"/>
      <c r="OB25" s="235"/>
      <c r="OC25" s="235"/>
      <c r="OD25" s="235"/>
      <c r="OE25" s="235"/>
      <c r="OF25" s="235"/>
      <c r="OG25" s="235"/>
      <c r="OH25" s="235"/>
      <c r="OI25" s="235"/>
      <c r="OJ25" s="235"/>
      <c r="OK25" s="235"/>
      <c r="OL25" s="235"/>
      <c r="OM25" s="235"/>
      <c r="ON25" s="235"/>
      <c r="OO25" s="235"/>
      <c r="OP25" s="235"/>
      <c r="OQ25" s="235"/>
      <c r="OR25" s="235"/>
      <c r="OS25" s="235"/>
      <c r="OT25" s="235"/>
      <c r="OU25" s="235"/>
      <c r="OV25" s="235"/>
      <c r="OW25" s="235"/>
      <c r="OX25" s="235"/>
      <c r="OY25" s="235"/>
      <c r="OZ25" s="235"/>
      <c r="PA25" s="235"/>
      <c r="PB25" s="235"/>
      <c r="PC25" s="235"/>
      <c r="PD25" s="235"/>
      <c r="PE25" s="235"/>
      <c r="PF25" s="235"/>
      <c r="PG25" s="235"/>
      <c r="PH25" s="235"/>
      <c r="PI25" s="235"/>
      <c r="PJ25" s="235"/>
      <c r="PK25" s="235"/>
      <c r="PL25" s="235"/>
      <c r="PM25" s="235"/>
      <c r="PN25" s="235"/>
      <c r="PO25" s="235"/>
      <c r="PP25" s="235"/>
      <c r="PQ25" s="235"/>
      <c r="PR25" s="235"/>
      <c r="PS25" s="235"/>
      <c r="PT25" s="235"/>
      <c r="PU25" s="235"/>
      <c r="PV25" s="235"/>
      <c r="PW25" s="235"/>
      <c r="PX25" s="235"/>
      <c r="PY25" s="235"/>
      <c r="PZ25" s="235"/>
      <c r="QA25" s="235"/>
      <c r="QB25" s="235"/>
      <c r="QC25" s="235"/>
      <c r="QD25" s="235"/>
      <c r="QE25" s="235"/>
      <c r="QF25" s="235"/>
      <c r="QG25" s="235"/>
      <c r="QH25" s="235"/>
      <c r="QI25" s="235"/>
      <c r="QJ25" s="235"/>
      <c r="QK25" s="235"/>
      <c r="QL25" s="235"/>
      <c r="QM25" s="235"/>
      <c r="QN25" s="235"/>
      <c r="QO25" s="235"/>
      <c r="QP25" s="235"/>
      <c r="QQ25" s="235"/>
      <c r="QR25" s="235"/>
      <c r="QS25" s="235"/>
      <c r="QT25" s="235"/>
      <c r="QU25" s="235"/>
      <c r="QV25" s="235"/>
      <c r="QW25" s="235"/>
      <c r="QX25" s="235"/>
      <c r="QY25" s="235"/>
      <c r="QZ25" s="235"/>
      <c r="RA25" s="235"/>
      <c r="RB25" s="235"/>
      <c r="RC25" s="235"/>
      <c r="RD25" s="235"/>
      <c r="RE25" s="235"/>
      <c r="RF25" s="235"/>
      <c r="RG25" s="235"/>
      <c r="RH25" s="235"/>
      <c r="RI25" s="235"/>
      <c r="RJ25" s="235"/>
      <c r="RK25" s="235"/>
      <c r="RL25" s="235"/>
      <c r="RM25" s="235"/>
      <c r="RN25" s="235"/>
      <c r="RO25" s="235"/>
      <c r="RP25" s="235"/>
      <c r="RQ25" s="235"/>
      <c r="RR25" s="235"/>
      <c r="RS25" s="235"/>
      <c r="RT25" s="235"/>
      <c r="RU25" s="235"/>
      <c r="RV25" s="235"/>
      <c r="RW25" s="235"/>
      <c r="RX25" s="235"/>
      <c r="RY25" s="235"/>
      <c r="RZ25" s="235"/>
      <c r="SA25" s="235"/>
      <c r="SB25" s="235"/>
      <c r="SC25" s="235"/>
      <c r="SD25" s="235"/>
      <c r="SE25" s="235"/>
      <c r="SF25" s="235"/>
      <c r="SG25" s="235"/>
      <c r="SH25" s="235"/>
      <c r="SI25" s="235"/>
      <c r="SJ25" s="235"/>
      <c r="SK25" s="235"/>
      <c r="SL25" s="235"/>
      <c r="SM25" s="235"/>
      <c r="SN25" s="235"/>
      <c r="SO25" s="235"/>
      <c r="SP25" s="235"/>
      <c r="SQ25" s="235"/>
      <c r="SR25" s="235"/>
      <c r="SS25" s="235"/>
      <c r="ST25" s="235"/>
      <c r="SU25" s="235"/>
      <c r="SV25" s="235"/>
      <c r="SW25" s="235"/>
      <c r="SX25" s="235"/>
      <c r="SY25" s="235"/>
      <c r="SZ25" s="235"/>
      <c r="TA25" s="235"/>
      <c r="TB25" s="235"/>
      <c r="TC25" s="235"/>
      <c r="TD25" s="235"/>
      <c r="TE25" s="235"/>
      <c r="TF25" s="235"/>
      <c r="TG25" s="235"/>
      <c r="TH25" s="235"/>
      <c r="TI25" s="235"/>
      <c r="TJ25" s="235"/>
      <c r="TK25" s="235"/>
      <c r="TL25" s="235"/>
      <c r="TM25" s="235"/>
      <c r="TN25" s="235"/>
      <c r="TO25" s="235"/>
      <c r="TP25" s="235"/>
      <c r="TQ25" s="235"/>
      <c r="TR25" s="235"/>
      <c r="TS25" s="235"/>
      <c r="TT25" s="235"/>
      <c r="TU25" s="235"/>
      <c r="TV25" s="235"/>
      <c r="TW25" s="235"/>
      <c r="TX25" s="235"/>
      <c r="TY25" s="235"/>
      <c r="TZ25" s="235"/>
      <c r="UA25" s="235"/>
      <c r="UB25" s="235"/>
      <c r="UC25" s="235"/>
      <c r="UD25" s="235"/>
      <c r="UE25" s="235"/>
      <c r="UF25" s="235"/>
      <c r="UG25" s="235"/>
      <c r="UH25" s="235"/>
      <c r="UI25" s="235"/>
      <c r="UJ25" s="235"/>
      <c r="UK25" s="235"/>
      <c r="UL25" s="235"/>
      <c r="UM25" s="235"/>
      <c r="UN25" s="235"/>
      <c r="UO25" s="235"/>
      <c r="UP25" s="235"/>
      <c r="UQ25" s="235"/>
      <c r="UR25" s="235"/>
      <c r="US25" s="235"/>
      <c r="UT25" s="235"/>
      <c r="UU25" s="235"/>
      <c r="UV25" s="235"/>
      <c r="UW25" s="235"/>
      <c r="UX25" s="235"/>
      <c r="UY25" s="235"/>
      <c r="UZ25" s="235"/>
      <c r="VA25" s="235"/>
      <c r="VB25" s="235"/>
      <c r="VC25" s="235"/>
      <c r="VD25" s="235"/>
      <c r="VE25" s="235"/>
      <c r="VF25" s="235"/>
      <c r="VG25" s="235"/>
      <c r="VH25" s="235"/>
      <c r="VI25" s="235"/>
      <c r="VJ25" s="235"/>
      <c r="VK25" s="235"/>
      <c r="VL25" s="235"/>
      <c r="VM25" s="235"/>
      <c r="VN25" s="235"/>
      <c r="VO25" s="235"/>
      <c r="VP25" s="235"/>
      <c r="VQ25" s="235"/>
      <c r="VR25" s="235"/>
      <c r="VS25" s="235"/>
      <c r="VT25" s="235"/>
      <c r="VU25" s="235"/>
      <c r="VV25" s="235"/>
      <c r="VW25" s="235"/>
      <c r="VX25" s="235"/>
      <c r="VY25" s="235"/>
      <c r="VZ25" s="235"/>
      <c r="WA25" s="235"/>
      <c r="WB25" s="235"/>
      <c r="WC25" s="235"/>
      <c r="WD25" s="235"/>
      <c r="WE25" s="235"/>
      <c r="WF25" s="235"/>
      <c r="WG25" s="235"/>
      <c r="WH25" s="235"/>
      <c r="WI25" s="235"/>
      <c r="WJ25" s="235"/>
      <c r="WK25" s="235"/>
      <c r="WL25" s="235"/>
      <c r="WM25" s="235"/>
      <c r="WN25" s="235"/>
      <c r="WO25" s="235"/>
      <c r="WP25" s="235"/>
      <c r="WQ25" s="235"/>
      <c r="WR25" s="235"/>
      <c r="WS25" s="235"/>
      <c r="WT25" s="235"/>
      <c r="WU25" s="235"/>
      <c r="WV25" s="235"/>
      <c r="WW25" s="235"/>
      <c r="WX25" s="235"/>
      <c r="WY25" s="235"/>
      <c r="WZ25" s="235"/>
      <c r="XA25" s="235"/>
      <c r="XB25" s="235"/>
      <c r="XC25" s="235"/>
      <c r="XD25" s="235"/>
      <c r="XE25" s="235"/>
      <c r="XF25" s="235"/>
      <c r="XG25" s="235"/>
      <c r="XH25" s="235"/>
      <c r="XI25" s="235"/>
      <c r="XJ25" s="235"/>
      <c r="XK25" s="235"/>
      <c r="XL25" s="235"/>
      <c r="XM25" s="235"/>
      <c r="XN25" s="235"/>
      <c r="XO25" s="235"/>
      <c r="XP25" s="235"/>
      <c r="XQ25" s="235"/>
      <c r="XR25" s="235"/>
      <c r="XS25" s="235"/>
      <c r="XT25" s="235"/>
      <c r="XU25" s="235"/>
      <c r="XV25" s="235"/>
      <c r="XW25" s="235"/>
      <c r="XX25" s="235"/>
      <c r="XY25" s="235"/>
      <c r="XZ25" s="235"/>
      <c r="YA25" s="235"/>
      <c r="YB25" s="235"/>
      <c r="YC25" s="235"/>
      <c r="YD25" s="235"/>
      <c r="YE25" s="235"/>
      <c r="YF25" s="235"/>
      <c r="YG25" s="235"/>
      <c r="YH25" s="235"/>
      <c r="YI25" s="235"/>
      <c r="YJ25" s="235"/>
      <c r="YK25" s="235"/>
      <c r="YL25" s="235"/>
      <c r="YM25" s="235"/>
      <c r="YN25" s="235"/>
      <c r="YO25" s="235"/>
      <c r="YP25" s="235"/>
      <c r="YQ25" s="235"/>
      <c r="YR25" s="235"/>
      <c r="YS25" s="235"/>
      <c r="YT25" s="235"/>
      <c r="YU25" s="235"/>
      <c r="YV25" s="235"/>
      <c r="YW25" s="235"/>
      <c r="YX25" s="235"/>
      <c r="YY25" s="235"/>
      <c r="YZ25" s="235"/>
      <c r="ZA25" s="235"/>
      <c r="ZB25" s="235"/>
      <c r="ZC25" s="235"/>
      <c r="ZD25" s="235"/>
      <c r="ZE25" s="235"/>
      <c r="ZF25" s="235"/>
      <c r="ZG25" s="235"/>
      <c r="ZH25" s="235"/>
      <c r="ZI25" s="235"/>
      <c r="ZJ25" s="235"/>
      <c r="ZK25" s="235"/>
      <c r="ZL25" s="235"/>
      <c r="ZM25" s="235"/>
      <c r="ZN25" s="235"/>
      <c r="ZO25" s="235"/>
      <c r="ZP25" s="235"/>
      <c r="ZQ25" s="235"/>
      <c r="ZR25" s="235"/>
      <c r="ZS25" s="235"/>
      <c r="ZT25" s="235"/>
      <c r="ZU25" s="235"/>
      <c r="ZV25" s="235"/>
      <c r="ZW25" s="235"/>
      <c r="ZX25" s="235"/>
      <c r="ZY25" s="235"/>
      <c r="ZZ25" s="235"/>
      <c r="AAA25" s="235"/>
      <c r="AAB25" s="235"/>
      <c r="AAC25" s="235"/>
      <c r="AAD25" s="235"/>
      <c r="AAE25" s="235"/>
      <c r="AAF25" s="235"/>
      <c r="AAG25" s="235"/>
      <c r="AAH25" s="235"/>
      <c r="AAI25" s="235"/>
      <c r="AAJ25" s="235"/>
      <c r="AAK25" s="235"/>
      <c r="AAL25" s="235"/>
      <c r="AAM25" s="235"/>
      <c r="AAN25" s="235"/>
      <c r="AAO25" s="235"/>
      <c r="AAP25" s="235"/>
      <c r="AAQ25" s="235"/>
      <c r="AAR25" s="235"/>
      <c r="AAS25" s="235"/>
      <c r="AAT25" s="235"/>
      <c r="AAU25" s="235"/>
      <c r="AAV25" s="235"/>
      <c r="AAW25" s="235"/>
      <c r="AAX25" s="235"/>
      <c r="AAY25" s="235"/>
      <c r="AAZ25" s="235"/>
      <c r="ABA25" s="235"/>
      <c r="ABB25" s="235"/>
      <c r="ABC25" s="235"/>
      <c r="ABD25" s="235"/>
      <c r="ABE25" s="235"/>
      <c r="ABF25" s="235"/>
      <c r="ABG25" s="235"/>
      <c r="ABH25" s="235"/>
      <c r="ABI25" s="235"/>
      <c r="ABJ25" s="235"/>
      <c r="ABK25" s="235"/>
      <c r="ABL25" s="235"/>
      <c r="ABM25" s="235"/>
      <c r="ABN25" s="235"/>
      <c r="ABO25" s="235"/>
      <c r="ABP25" s="235"/>
      <c r="ABQ25" s="235"/>
      <c r="ABR25" s="235"/>
      <c r="ABS25" s="235"/>
      <c r="ABT25" s="235"/>
      <c r="ABU25" s="235"/>
      <c r="ABV25" s="235"/>
      <c r="ABW25" s="235"/>
      <c r="ABX25" s="235"/>
      <c r="ABY25" s="235"/>
      <c r="ABZ25" s="235"/>
      <c r="ACA25" s="235"/>
      <c r="ACB25" s="235"/>
      <c r="ACC25" s="235"/>
      <c r="ACD25" s="235"/>
      <c r="ACE25" s="235"/>
      <c r="ACF25" s="235"/>
      <c r="ACG25" s="235"/>
      <c r="ACH25" s="235"/>
      <c r="ACI25" s="235"/>
      <c r="ACJ25" s="235"/>
      <c r="ACK25" s="235"/>
      <c r="ACL25" s="235"/>
      <c r="ACM25" s="235"/>
      <c r="ACN25" s="235"/>
      <c r="ACO25" s="235"/>
      <c r="ACP25" s="235"/>
      <c r="ACQ25" s="235"/>
      <c r="ACR25" s="235"/>
      <c r="ACS25" s="235"/>
      <c r="ACT25" s="235"/>
      <c r="ACU25" s="235"/>
      <c r="ACV25" s="235"/>
      <c r="ACW25" s="235"/>
      <c r="ACX25" s="235"/>
      <c r="ACY25" s="235"/>
      <c r="ACZ25" s="235"/>
      <c r="ADA25" s="235"/>
      <c r="ADB25" s="235"/>
      <c r="ADC25" s="235"/>
      <c r="ADD25" s="235"/>
      <c r="ADE25" s="235"/>
      <c r="ADF25" s="235"/>
      <c r="ADG25" s="235"/>
      <c r="ADH25" s="235"/>
      <c r="ADI25" s="235"/>
      <c r="ADJ25" s="235"/>
      <c r="ADK25" s="235"/>
      <c r="ADL25" s="235"/>
      <c r="ADM25" s="235"/>
      <c r="ADN25" s="235"/>
      <c r="ADO25" s="235"/>
      <c r="ADP25" s="235"/>
      <c r="ADQ25" s="235"/>
      <c r="ADR25" s="235"/>
      <c r="ADS25" s="235"/>
      <c r="ADT25" s="235"/>
      <c r="ADU25" s="235"/>
      <c r="ADV25" s="235"/>
      <c r="ADW25" s="235"/>
      <c r="ADX25" s="235"/>
      <c r="ADY25" s="235"/>
      <c r="ADZ25" s="235"/>
      <c r="AEA25" s="235"/>
      <c r="AEB25" s="235"/>
      <c r="AEC25" s="235"/>
      <c r="AED25" s="235"/>
      <c r="AEE25" s="235"/>
      <c r="AEF25" s="235"/>
      <c r="AEG25" s="235"/>
      <c r="AEH25" s="235"/>
      <c r="AEI25" s="235"/>
      <c r="AEJ25" s="235"/>
      <c r="AEK25" s="235"/>
      <c r="AEL25" s="235"/>
      <c r="AEM25" s="235"/>
      <c r="AEN25" s="235"/>
      <c r="AEO25" s="235"/>
      <c r="AEP25" s="235"/>
      <c r="AEQ25" s="235"/>
      <c r="AER25" s="235"/>
      <c r="AES25" s="235"/>
      <c r="AET25" s="235"/>
      <c r="AEU25" s="235"/>
      <c r="AEV25" s="235"/>
      <c r="AEW25" s="235"/>
      <c r="AEX25" s="235"/>
      <c r="AEY25" s="235"/>
      <c r="AEZ25" s="235"/>
      <c r="AFA25" s="235"/>
      <c r="AFB25" s="235"/>
      <c r="AFC25" s="235"/>
      <c r="AFD25" s="235"/>
      <c r="AFE25" s="235"/>
      <c r="AFF25" s="235"/>
      <c r="AFG25" s="235"/>
      <c r="AFH25" s="235"/>
      <c r="AFI25" s="235"/>
      <c r="AFJ25" s="235"/>
      <c r="AFK25" s="235"/>
      <c r="AFL25" s="235"/>
      <c r="AFM25" s="235"/>
      <c r="AFN25" s="235"/>
      <c r="AFO25" s="235"/>
      <c r="AFP25" s="235"/>
      <c r="AFQ25" s="235"/>
      <c r="AFR25" s="235"/>
      <c r="AFS25" s="235"/>
      <c r="AFT25" s="235"/>
      <c r="AFU25" s="235"/>
      <c r="AFV25" s="235"/>
      <c r="AFW25" s="235"/>
      <c r="AFX25" s="235"/>
      <c r="AFY25" s="235"/>
      <c r="AFZ25" s="235"/>
      <c r="AGA25" s="235"/>
      <c r="AGB25" s="235"/>
      <c r="AGC25" s="235"/>
      <c r="AGD25" s="235"/>
      <c r="AGE25" s="235"/>
      <c r="AGF25" s="235"/>
      <c r="AGG25" s="235"/>
      <c r="AGH25" s="235"/>
      <c r="AGI25" s="235"/>
      <c r="AGJ25" s="235"/>
      <c r="AGK25" s="235"/>
      <c r="AGL25" s="235"/>
      <c r="AGM25" s="235"/>
      <c r="AGN25" s="235"/>
      <c r="AGO25" s="235"/>
      <c r="AGP25" s="235"/>
      <c r="AGQ25" s="235"/>
      <c r="AGR25" s="235"/>
      <c r="AGS25" s="235"/>
      <c r="AGT25" s="235"/>
      <c r="AGU25" s="235"/>
      <c r="AGV25" s="235"/>
      <c r="AGW25" s="235"/>
      <c r="AGX25" s="235"/>
      <c r="AGY25" s="235"/>
      <c r="AGZ25" s="235"/>
      <c r="AHA25" s="235"/>
      <c r="AHB25" s="235"/>
      <c r="AHC25" s="235"/>
      <c r="AHD25" s="235"/>
      <c r="AHE25" s="235"/>
      <c r="AHF25" s="235"/>
      <c r="AHG25" s="235"/>
      <c r="AHH25" s="235"/>
      <c r="AHI25" s="235"/>
      <c r="AHJ25" s="235"/>
      <c r="AHK25" s="235"/>
      <c r="AHL25" s="235"/>
      <c r="AHM25" s="235"/>
      <c r="AHN25" s="235"/>
      <c r="AHO25" s="235"/>
      <c r="AHP25" s="235"/>
      <c r="AHQ25" s="235"/>
      <c r="AHR25" s="235"/>
      <c r="AHS25" s="235"/>
      <c r="AHT25" s="235"/>
      <c r="AHU25" s="235"/>
      <c r="AHV25" s="235"/>
      <c r="AHW25" s="235"/>
      <c r="AHX25" s="235"/>
      <c r="AHY25" s="235"/>
      <c r="AHZ25" s="235"/>
      <c r="AIA25" s="235"/>
      <c r="AIB25" s="235"/>
      <c r="AIC25" s="235"/>
      <c r="AID25" s="235"/>
      <c r="AIE25" s="235"/>
      <c r="AIF25" s="235"/>
      <c r="AIG25" s="235"/>
      <c r="AIH25" s="235"/>
      <c r="AII25" s="235"/>
      <c r="AIJ25" s="235"/>
      <c r="AIK25" s="235"/>
      <c r="AIL25" s="235"/>
      <c r="AIM25" s="235"/>
      <c r="AIN25" s="235"/>
      <c r="AIO25" s="235"/>
      <c r="AIP25" s="235"/>
      <c r="AIQ25" s="235"/>
      <c r="AIR25" s="235"/>
      <c r="AIS25" s="235"/>
      <c r="AIT25" s="235"/>
      <c r="AIU25" s="235"/>
      <c r="AIV25" s="235"/>
      <c r="AIW25" s="235"/>
      <c r="AIX25" s="235"/>
      <c r="AIY25" s="235"/>
      <c r="AIZ25" s="235"/>
      <c r="AJA25" s="235"/>
      <c r="AJB25" s="235"/>
      <c r="AJC25" s="235"/>
      <c r="AJD25" s="235"/>
      <c r="AJE25" s="235"/>
      <c r="AJF25" s="235"/>
      <c r="AJG25" s="235"/>
      <c r="AJH25" s="235"/>
      <c r="AJI25" s="235"/>
      <c r="AJJ25" s="235"/>
      <c r="AJK25" s="235"/>
      <c r="AJL25" s="235"/>
      <c r="AJM25" s="235"/>
      <c r="AJN25" s="235"/>
      <c r="AJO25" s="235"/>
      <c r="AJP25" s="235"/>
      <c r="AJQ25" s="235"/>
      <c r="AJR25" s="235"/>
      <c r="AJS25" s="235"/>
      <c r="AJT25" s="235"/>
      <c r="AJU25" s="235"/>
      <c r="AJV25" s="235"/>
      <c r="AJW25" s="235"/>
      <c r="AJX25" s="235"/>
      <c r="AJY25" s="235"/>
      <c r="AJZ25" s="235"/>
      <c r="AKA25" s="235"/>
      <c r="AKB25" s="235"/>
      <c r="AKC25" s="235"/>
      <c r="AKD25" s="235"/>
      <c r="AKE25" s="235"/>
      <c r="AKF25" s="235"/>
      <c r="AKG25" s="235"/>
      <c r="AKH25" s="235"/>
      <c r="AKI25" s="235"/>
      <c r="AKJ25" s="235"/>
      <c r="AKK25" s="235"/>
      <c r="AKL25" s="235"/>
      <c r="AKM25" s="235"/>
      <c r="AKN25" s="235"/>
      <c r="AKO25" s="235"/>
      <c r="AKP25" s="235"/>
      <c r="AKQ25" s="235"/>
      <c r="AKR25" s="235"/>
      <c r="AKS25" s="235"/>
      <c r="AKT25" s="235"/>
      <c r="AKU25" s="235"/>
      <c r="AKV25" s="235"/>
      <c r="AKW25" s="235"/>
      <c r="AKX25" s="235"/>
      <c r="AKY25" s="235"/>
      <c r="AKZ25" s="235"/>
      <c r="ALA25" s="235"/>
      <c r="ALB25" s="235"/>
      <c r="ALC25" s="235"/>
      <c r="ALD25" s="235"/>
      <c r="ALE25" s="235"/>
      <c r="ALF25" s="235"/>
      <c r="ALG25" s="235"/>
      <c r="ALH25" s="235"/>
      <c r="ALI25" s="235"/>
      <c r="ALJ25" s="235"/>
      <c r="ALK25" s="235"/>
      <c r="ALL25" s="235"/>
      <c r="ALM25" s="235"/>
      <c r="ALN25" s="235"/>
      <c r="ALO25" s="235"/>
      <c r="ALP25" s="235"/>
      <c r="ALQ25" s="235"/>
      <c r="ALR25" s="235"/>
      <c r="ALS25" s="235"/>
      <c r="ALT25" s="235"/>
      <c r="ALU25" s="235"/>
      <c r="ALV25" s="235"/>
      <c r="ALW25" s="235"/>
      <c r="ALX25" s="235"/>
      <c r="ALY25" s="235"/>
      <c r="ALZ25" s="235"/>
      <c r="AMA25" s="235"/>
      <c r="AMB25" s="235"/>
      <c r="AMC25" s="235"/>
      <c r="AMD25" s="235"/>
      <c r="AME25" s="235"/>
      <c r="AMF25" s="235"/>
      <c r="AMG25" s="235"/>
      <c r="AMH25" s="235"/>
      <c r="AMI25" s="235"/>
      <c r="AMJ25" s="235"/>
    </row>
    <row r="26" customFormat="false" ht="18" hidden="false" customHeight="true" outlineLevel="0" collapsed="false">
      <c r="B26" s="229" t="s">
        <v>22</v>
      </c>
      <c r="C26" s="229" t="s">
        <v>22</v>
      </c>
      <c r="D26" s="230" t="s">
        <v>136</v>
      </c>
      <c r="E26" s="234" t="s">
        <v>283</v>
      </c>
      <c r="F26" s="67" t="n">
        <f aca="false">(19*2)/60</f>
        <v>0.633333333333333</v>
      </c>
      <c r="G26" s="232" t="n">
        <v>0.02</v>
      </c>
      <c r="H26" s="232" t="n">
        <f aca="false">HLOOKUP(G26,BDI!$D$19:$J$30,12,)</f>
        <v>0.2707</v>
      </c>
      <c r="I26" s="233" t="n">
        <v>1988.85</v>
      </c>
      <c r="J26" s="233" t="n">
        <v>501.54</v>
      </c>
      <c r="K26" s="233" t="n">
        <v>706.74</v>
      </c>
      <c r="L26" s="233" t="n">
        <v>780.57</v>
      </c>
      <c r="M26" s="233" t="s">
        <v>259</v>
      </c>
      <c r="N26" s="233" t="s">
        <v>261</v>
      </c>
    </row>
    <row r="27" customFormat="false" ht="18" hidden="false" customHeight="true" outlineLevel="0" collapsed="false">
      <c r="B27" s="229" t="s">
        <v>22</v>
      </c>
      <c r="C27" s="229" t="s">
        <v>22</v>
      </c>
      <c r="D27" s="230" t="s">
        <v>145</v>
      </c>
      <c r="E27" s="231" t="s">
        <v>284</v>
      </c>
      <c r="F27" s="67" t="n">
        <f aca="false">(36*2)/60</f>
        <v>1.2</v>
      </c>
      <c r="G27" s="232" t="n">
        <v>0.03</v>
      </c>
      <c r="H27" s="232" t="n">
        <f aca="false">HLOOKUP(G27,BDI!$D$19:$J$30,12,)</f>
        <v>0.2849</v>
      </c>
      <c r="I27" s="233" t="n">
        <v>1953.81</v>
      </c>
      <c r="J27" s="233" t="n">
        <v>838.95</v>
      </c>
      <c r="K27" s="233" t="n">
        <v>565.28</v>
      </c>
      <c r="L27" s="233" t="n">
        <v>549.58</v>
      </c>
      <c r="M27" s="233" t="s">
        <v>259</v>
      </c>
      <c r="N27" s="233" t="s">
        <v>261</v>
      </c>
    </row>
    <row r="28" customFormat="false" ht="18" hidden="false" customHeight="true" outlineLevel="0" collapsed="false">
      <c r="B28" s="229" t="s">
        <v>22</v>
      </c>
      <c r="C28" s="229" t="s">
        <v>22</v>
      </c>
      <c r="D28" s="230" t="s">
        <v>150</v>
      </c>
      <c r="E28" s="231" t="s">
        <v>285</v>
      </c>
      <c r="F28" s="67" t="n">
        <f aca="false">(82*2)/60</f>
        <v>2.73333333333333</v>
      </c>
      <c r="G28" s="232" t="n">
        <v>0.02</v>
      </c>
      <c r="H28" s="232" t="n">
        <f aca="false">HLOOKUP(G28,BDI!$D$19:$J$30,12,)</f>
        <v>0.2707</v>
      </c>
      <c r="I28" s="233" t="n">
        <v>914.18</v>
      </c>
      <c r="J28" s="233" t="n">
        <v>423.72</v>
      </c>
      <c r="K28" s="233" t="n">
        <v>63.03</v>
      </c>
      <c r="L28" s="233" t="n">
        <v>427.43</v>
      </c>
      <c r="M28" s="233" t="s">
        <v>259</v>
      </c>
      <c r="N28" s="233" t="s">
        <v>261</v>
      </c>
    </row>
    <row r="29" customFormat="false" ht="18" hidden="false" customHeight="true" outlineLevel="0" collapsed="false">
      <c r="B29" s="229" t="s">
        <v>22</v>
      </c>
      <c r="C29" s="229" t="s">
        <v>22</v>
      </c>
      <c r="D29" s="230" t="s">
        <v>144</v>
      </c>
      <c r="E29" s="234" t="s">
        <v>286</v>
      </c>
      <c r="F29" s="67" t="n">
        <f aca="false">(90*2)/60</f>
        <v>3</v>
      </c>
      <c r="G29" s="232" t="n">
        <v>0.03</v>
      </c>
      <c r="H29" s="232" t="n">
        <f aca="false">HLOOKUP(G29,BDI!$D$19:$J$30,12,)</f>
        <v>0.2849</v>
      </c>
      <c r="I29" s="233" t="n">
        <v>334.4</v>
      </c>
      <c r="J29" s="233" t="n">
        <v>296</v>
      </c>
      <c r="K29" s="233" t="n">
        <v>38.4</v>
      </c>
      <c r="L29" s="233" t="n">
        <v>0</v>
      </c>
      <c r="M29" s="233" t="s">
        <v>259</v>
      </c>
      <c r="N29" s="233" t="s">
        <v>259</v>
      </c>
    </row>
    <row r="30" customFormat="false" ht="18" hidden="false" customHeight="true" outlineLevel="0" collapsed="false">
      <c r="A30" s="235"/>
      <c r="B30" s="237" t="s">
        <v>22</v>
      </c>
      <c r="C30" s="237" t="s">
        <v>22</v>
      </c>
      <c r="D30" s="238" t="s">
        <v>134</v>
      </c>
      <c r="E30" s="231" t="s">
        <v>287</v>
      </c>
      <c r="F30" s="239" t="n">
        <f aca="false">(57*2)/60</f>
        <v>1.9</v>
      </c>
      <c r="G30" s="232" t="n">
        <v>0.02</v>
      </c>
      <c r="H30" s="232" t="n">
        <f aca="false">HLOOKUP(G30,BDI!$D$19:$J$30,12,)</f>
        <v>0.2707</v>
      </c>
      <c r="I30" s="240" t="n">
        <v>334.4</v>
      </c>
      <c r="J30" s="240" t="n">
        <v>0</v>
      </c>
      <c r="K30" s="240" t="n">
        <v>0</v>
      </c>
      <c r="L30" s="240" t="n">
        <v>334.4</v>
      </c>
      <c r="M30" s="240" t="s">
        <v>259</v>
      </c>
      <c r="N30" s="240" t="s">
        <v>259</v>
      </c>
      <c r="O30" s="125"/>
      <c r="P30" s="125"/>
      <c r="Q30" s="125"/>
      <c r="R30" s="125"/>
      <c r="S30" s="125"/>
      <c r="T30" s="125"/>
      <c r="U30" s="125"/>
      <c r="V30" s="125"/>
      <c r="W30" s="125"/>
      <c r="X30" s="125"/>
      <c r="Y30" s="125"/>
      <c r="Z30" s="125"/>
      <c r="AA30" s="125"/>
      <c r="AB30" s="125"/>
      <c r="AC30" s="125"/>
      <c r="AD30" s="125"/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  <c r="AO30" s="125"/>
      <c r="AP30" s="125"/>
      <c r="AQ30" s="125"/>
      <c r="AR30" s="125"/>
      <c r="AS30" s="125"/>
      <c r="AT30" s="125"/>
      <c r="AU30" s="125"/>
      <c r="AV30" s="125"/>
      <c r="AW30" s="125"/>
      <c r="AX30" s="125"/>
      <c r="AY30" s="125"/>
      <c r="AZ30" s="125"/>
      <c r="BA30" s="125"/>
      <c r="BB30" s="125"/>
      <c r="BC30" s="125"/>
      <c r="BD30" s="125"/>
      <c r="BE30" s="125"/>
      <c r="BF30" s="125"/>
      <c r="BG30" s="125"/>
      <c r="BH30" s="125"/>
      <c r="BI30" s="125"/>
      <c r="BJ30" s="125"/>
      <c r="BK30" s="125"/>
      <c r="BL30" s="125"/>
      <c r="BM30" s="125"/>
      <c r="BN30" s="125"/>
      <c r="BO30" s="125"/>
      <c r="BP30" s="125"/>
      <c r="BQ30" s="125"/>
      <c r="BR30" s="125"/>
      <c r="BS30" s="125"/>
      <c r="BT30" s="125"/>
      <c r="BU30" s="125"/>
      <c r="BV30" s="125"/>
      <c r="BW30" s="125"/>
      <c r="BX30" s="125"/>
      <c r="BY30" s="125"/>
      <c r="BZ30" s="125"/>
      <c r="CA30" s="125"/>
      <c r="CB30" s="125"/>
      <c r="CC30" s="125"/>
      <c r="CD30" s="125"/>
      <c r="CE30" s="125"/>
      <c r="CF30" s="125"/>
      <c r="CG30" s="125"/>
      <c r="CH30" s="125"/>
      <c r="CI30" s="125"/>
      <c r="CJ30" s="125"/>
      <c r="CK30" s="125"/>
      <c r="CL30" s="125"/>
      <c r="CM30" s="125"/>
      <c r="CN30" s="125"/>
      <c r="CO30" s="125"/>
      <c r="CP30" s="125"/>
      <c r="CQ30" s="125"/>
      <c r="CR30" s="125"/>
      <c r="CS30" s="125"/>
      <c r="CT30" s="125"/>
      <c r="CU30" s="125"/>
      <c r="CV30" s="125"/>
      <c r="CW30" s="125"/>
      <c r="CX30" s="125"/>
      <c r="CY30" s="125"/>
      <c r="CZ30" s="125"/>
      <c r="DA30" s="125"/>
      <c r="DB30" s="125"/>
      <c r="DC30" s="125"/>
      <c r="DD30" s="125"/>
      <c r="DE30" s="125"/>
      <c r="DF30" s="125"/>
      <c r="DG30" s="125"/>
      <c r="DH30" s="125"/>
      <c r="DI30" s="125"/>
      <c r="DJ30" s="125"/>
      <c r="DK30" s="125"/>
      <c r="DL30" s="125"/>
      <c r="DM30" s="125"/>
      <c r="DN30" s="125"/>
      <c r="DO30" s="125"/>
      <c r="DP30" s="125"/>
      <c r="DQ30" s="125"/>
      <c r="DR30" s="125"/>
      <c r="DS30" s="125"/>
      <c r="DT30" s="125"/>
      <c r="DU30" s="125"/>
      <c r="DV30" s="125"/>
      <c r="DW30" s="125"/>
      <c r="DX30" s="125"/>
      <c r="DY30" s="125"/>
      <c r="DZ30" s="125"/>
      <c r="EA30" s="125"/>
      <c r="EB30" s="125"/>
      <c r="EC30" s="125"/>
      <c r="ED30" s="125"/>
      <c r="EE30" s="125"/>
      <c r="EF30" s="125"/>
      <c r="EG30" s="125"/>
      <c r="EH30" s="125"/>
      <c r="EI30" s="125"/>
      <c r="EJ30" s="125"/>
      <c r="EK30" s="125"/>
      <c r="EL30" s="125"/>
      <c r="EM30" s="125"/>
      <c r="EN30" s="125"/>
      <c r="EO30" s="125"/>
      <c r="EP30" s="125"/>
      <c r="EQ30" s="125"/>
      <c r="ER30" s="125"/>
      <c r="ES30" s="125"/>
      <c r="ET30" s="125"/>
      <c r="EU30" s="125"/>
      <c r="EV30" s="125"/>
      <c r="EW30" s="125"/>
      <c r="EX30" s="125"/>
      <c r="EY30" s="125"/>
      <c r="EZ30" s="125"/>
      <c r="FA30" s="125"/>
      <c r="FB30" s="125"/>
      <c r="FC30" s="125"/>
      <c r="FD30" s="125"/>
      <c r="FE30" s="125"/>
      <c r="FF30" s="125"/>
      <c r="FG30" s="125"/>
      <c r="FH30" s="125"/>
      <c r="FI30" s="125"/>
      <c r="FJ30" s="125"/>
      <c r="FK30" s="125"/>
      <c r="FL30" s="125"/>
      <c r="FM30" s="125"/>
      <c r="FN30" s="125"/>
      <c r="FO30" s="125"/>
      <c r="FP30" s="125"/>
      <c r="FQ30" s="125"/>
      <c r="FR30" s="125"/>
      <c r="FS30" s="125"/>
      <c r="FT30" s="125"/>
      <c r="FU30" s="125"/>
      <c r="FV30" s="125"/>
      <c r="FW30" s="125"/>
      <c r="FX30" s="125"/>
      <c r="FY30" s="125"/>
      <c r="FZ30" s="125"/>
      <c r="GA30" s="125"/>
      <c r="GB30" s="125"/>
      <c r="GC30" s="125"/>
      <c r="GD30" s="125"/>
      <c r="GE30" s="125"/>
      <c r="GF30" s="125"/>
      <c r="GG30" s="125"/>
      <c r="GH30" s="125"/>
      <c r="GI30" s="125"/>
      <c r="GJ30" s="125"/>
      <c r="GK30" s="125"/>
      <c r="GL30" s="125"/>
      <c r="GM30" s="125"/>
      <c r="GN30" s="125"/>
      <c r="GO30" s="125"/>
      <c r="GP30" s="125"/>
      <c r="GQ30" s="125"/>
      <c r="GR30" s="125"/>
      <c r="GS30" s="125"/>
      <c r="GT30" s="125"/>
      <c r="GU30" s="125"/>
      <c r="GV30" s="125"/>
      <c r="GW30" s="125"/>
      <c r="GX30" s="125"/>
      <c r="GY30" s="125"/>
      <c r="GZ30" s="125"/>
      <c r="HA30" s="125"/>
      <c r="HB30" s="125"/>
      <c r="HC30" s="125"/>
      <c r="HD30" s="125"/>
      <c r="HE30" s="125"/>
      <c r="HF30" s="125"/>
      <c r="HG30" s="125"/>
      <c r="HH30" s="125"/>
      <c r="HI30" s="125"/>
      <c r="HJ30" s="125"/>
      <c r="HK30" s="125"/>
      <c r="HL30" s="125"/>
      <c r="HM30" s="125"/>
      <c r="HN30" s="125"/>
      <c r="HO30" s="125"/>
      <c r="HP30" s="125"/>
      <c r="HQ30" s="125"/>
      <c r="HR30" s="125"/>
      <c r="HS30" s="125"/>
      <c r="HT30" s="125"/>
      <c r="HU30" s="125"/>
      <c r="HV30" s="125"/>
      <c r="HW30" s="125"/>
      <c r="HX30" s="125"/>
      <c r="HY30" s="125"/>
      <c r="HZ30" s="125"/>
      <c r="IA30" s="125"/>
      <c r="IB30" s="125"/>
      <c r="IC30" s="125"/>
      <c r="ID30" s="125"/>
      <c r="IE30" s="125"/>
      <c r="IF30" s="125"/>
      <c r="IG30" s="125"/>
      <c r="IH30" s="125"/>
      <c r="II30" s="125"/>
      <c r="IJ30" s="125"/>
      <c r="IK30" s="125"/>
      <c r="IL30" s="125"/>
      <c r="IM30" s="125"/>
      <c r="IN30" s="125"/>
      <c r="IO30" s="125"/>
      <c r="IP30" s="125"/>
      <c r="IQ30" s="125"/>
      <c r="IR30" s="125"/>
      <c r="IS30" s="125"/>
      <c r="IT30" s="125"/>
      <c r="IU30" s="125"/>
      <c r="IV30" s="125"/>
      <c r="IW30" s="125"/>
      <c r="IX30" s="125"/>
      <c r="IY30" s="125"/>
      <c r="IZ30" s="235"/>
      <c r="JA30" s="235"/>
      <c r="JB30" s="235"/>
      <c r="JC30" s="235"/>
      <c r="JD30" s="235"/>
      <c r="JE30" s="235"/>
      <c r="JF30" s="235"/>
      <c r="JG30" s="235"/>
      <c r="JH30" s="235"/>
      <c r="JI30" s="235"/>
      <c r="JJ30" s="235"/>
      <c r="JK30" s="235"/>
      <c r="JL30" s="235"/>
      <c r="JM30" s="235"/>
      <c r="JN30" s="235"/>
      <c r="JO30" s="235"/>
      <c r="JP30" s="235"/>
      <c r="JQ30" s="235"/>
      <c r="JR30" s="235"/>
      <c r="JS30" s="235"/>
      <c r="JT30" s="235"/>
      <c r="JU30" s="235"/>
      <c r="JV30" s="235"/>
      <c r="JW30" s="235"/>
      <c r="JX30" s="235"/>
      <c r="JY30" s="235"/>
      <c r="JZ30" s="235"/>
      <c r="KA30" s="235"/>
      <c r="KB30" s="235"/>
      <c r="KC30" s="235"/>
      <c r="KD30" s="235"/>
      <c r="KE30" s="235"/>
      <c r="KF30" s="235"/>
      <c r="KG30" s="235"/>
      <c r="KH30" s="235"/>
      <c r="KI30" s="235"/>
      <c r="KJ30" s="235"/>
      <c r="KK30" s="235"/>
      <c r="KL30" s="235"/>
      <c r="KM30" s="235"/>
      <c r="KN30" s="235"/>
      <c r="KO30" s="235"/>
      <c r="KP30" s="235"/>
      <c r="KQ30" s="235"/>
      <c r="KR30" s="235"/>
      <c r="KS30" s="235"/>
      <c r="KT30" s="235"/>
      <c r="KU30" s="235"/>
      <c r="KV30" s="235"/>
      <c r="KW30" s="235"/>
      <c r="KX30" s="235"/>
      <c r="KY30" s="235"/>
      <c r="KZ30" s="235"/>
      <c r="LA30" s="235"/>
      <c r="LB30" s="235"/>
      <c r="LC30" s="235"/>
      <c r="LD30" s="235"/>
      <c r="LE30" s="235"/>
      <c r="LF30" s="235"/>
      <c r="LG30" s="235"/>
      <c r="LH30" s="235"/>
      <c r="LI30" s="235"/>
      <c r="LJ30" s="235"/>
      <c r="LK30" s="235"/>
      <c r="LL30" s="235"/>
      <c r="LM30" s="235"/>
      <c r="LN30" s="235"/>
      <c r="LO30" s="235"/>
      <c r="LP30" s="235"/>
      <c r="LQ30" s="235"/>
      <c r="LR30" s="235"/>
      <c r="LS30" s="235"/>
      <c r="LT30" s="235"/>
      <c r="LU30" s="235"/>
      <c r="LV30" s="235"/>
      <c r="LW30" s="235"/>
      <c r="LX30" s="235"/>
      <c r="LY30" s="235"/>
      <c r="LZ30" s="235"/>
      <c r="MA30" s="235"/>
      <c r="MB30" s="235"/>
      <c r="MC30" s="235"/>
      <c r="MD30" s="235"/>
      <c r="ME30" s="235"/>
      <c r="MF30" s="235"/>
      <c r="MG30" s="235"/>
      <c r="MH30" s="235"/>
      <c r="MI30" s="235"/>
      <c r="MJ30" s="235"/>
      <c r="MK30" s="235"/>
      <c r="ML30" s="235"/>
      <c r="MM30" s="235"/>
      <c r="MN30" s="235"/>
      <c r="MO30" s="235"/>
      <c r="MP30" s="235"/>
      <c r="MQ30" s="235"/>
      <c r="MR30" s="235"/>
      <c r="MS30" s="235"/>
      <c r="MT30" s="235"/>
      <c r="MU30" s="235"/>
      <c r="MV30" s="235"/>
      <c r="MW30" s="235"/>
      <c r="MX30" s="235"/>
      <c r="MY30" s="235"/>
      <c r="MZ30" s="235"/>
      <c r="NA30" s="235"/>
      <c r="NB30" s="235"/>
      <c r="NC30" s="235"/>
      <c r="ND30" s="235"/>
      <c r="NE30" s="235"/>
      <c r="NF30" s="235"/>
      <c r="NG30" s="235"/>
      <c r="NH30" s="235"/>
      <c r="NI30" s="235"/>
      <c r="NJ30" s="235"/>
      <c r="NK30" s="235"/>
      <c r="NL30" s="235"/>
      <c r="NM30" s="235"/>
      <c r="NN30" s="235"/>
      <c r="NO30" s="235"/>
      <c r="NP30" s="235"/>
      <c r="NQ30" s="235"/>
      <c r="NR30" s="235"/>
      <c r="NS30" s="235"/>
      <c r="NT30" s="235"/>
      <c r="NU30" s="235"/>
      <c r="NV30" s="235"/>
      <c r="NW30" s="235"/>
      <c r="NX30" s="235"/>
      <c r="NY30" s="235"/>
      <c r="NZ30" s="235"/>
      <c r="OA30" s="235"/>
      <c r="OB30" s="235"/>
      <c r="OC30" s="235"/>
      <c r="OD30" s="235"/>
      <c r="OE30" s="235"/>
      <c r="OF30" s="235"/>
      <c r="OG30" s="235"/>
      <c r="OH30" s="235"/>
      <c r="OI30" s="235"/>
      <c r="OJ30" s="235"/>
      <c r="OK30" s="235"/>
      <c r="OL30" s="235"/>
      <c r="OM30" s="235"/>
      <c r="ON30" s="235"/>
      <c r="OO30" s="235"/>
      <c r="OP30" s="235"/>
      <c r="OQ30" s="235"/>
      <c r="OR30" s="235"/>
      <c r="OS30" s="235"/>
      <c r="OT30" s="235"/>
      <c r="OU30" s="235"/>
      <c r="OV30" s="235"/>
      <c r="OW30" s="235"/>
      <c r="OX30" s="235"/>
      <c r="OY30" s="235"/>
      <c r="OZ30" s="235"/>
      <c r="PA30" s="235"/>
      <c r="PB30" s="235"/>
      <c r="PC30" s="235"/>
      <c r="PD30" s="235"/>
      <c r="PE30" s="235"/>
      <c r="PF30" s="235"/>
      <c r="PG30" s="235"/>
      <c r="PH30" s="235"/>
      <c r="PI30" s="235"/>
      <c r="PJ30" s="235"/>
      <c r="PK30" s="235"/>
      <c r="PL30" s="235"/>
      <c r="PM30" s="235"/>
      <c r="PN30" s="235"/>
      <c r="PO30" s="235"/>
      <c r="PP30" s="235"/>
      <c r="PQ30" s="235"/>
      <c r="PR30" s="235"/>
      <c r="PS30" s="235"/>
      <c r="PT30" s="235"/>
      <c r="PU30" s="235"/>
      <c r="PV30" s="235"/>
      <c r="PW30" s="235"/>
      <c r="PX30" s="235"/>
      <c r="PY30" s="235"/>
      <c r="PZ30" s="235"/>
      <c r="QA30" s="235"/>
      <c r="QB30" s="235"/>
      <c r="QC30" s="235"/>
      <c r="QD30" s="235"/>
      <c r="QE30" s="235"/>
      <c r="QF30" s="235"/>
      <c r="QG30" s="235"/>
      <c r="QH30" s="235"/>
      <c r="QI30" s="235"/>
      <c r="QJ30" s="235"/>
      <c r="QK30" s="235"/>
      <c r="QL30" s="235"/>
      <c r="QM30" s="235"/>
      <c r="QN30" s="235"/>
      <c r="QO30" s="235"/>
      <c r="QP30" s="235"/>
      <c r="QQ30" s="235"/>
      <c r="QR30" s="235"/>
      <c r="QS30" s="235"/>
      <c r="QT30" s="235"/>
      <c r="QU30" s="235"/>
      <c r="QV30" s="235"/>
      <c r="QW30" s="235"/>
      <c r="QX30" s="235"/>
      <c r="QY30" s="235"/>
      <c r="QZ30" s="235"/>
      <c r="RA30" s="235"/>
      <c r="RB30" s="235"/>
      <c r="RC30" s="235"/>
      <c r="RD30" s="235"/>
      <c r="RE30" s="235"/>
      <c r="RF30" s="235"/>
      <c r="RG30" s="235"/>
      <c r="RH30" s="235"/>
      <c r="RI30" s="235"/>
      <c r="RJ30" s="235"/>
      <c r="RK30" s="235"/>
      <c r="RL30" s="235"/>
      <c r="RM30" s="235"/>
      <c r="RN30" s="235"/>
      <c r="RO30" s="235"/>
      <c r="RP30" s="235"/>
      <c r="RQ30" s="235"/>
      <c r="RR30" s="235"/>
      <c r="RS30" s="235"/>
      <c r="RT30" s="235"/>
      <c r="RU30" s="235"/>
      <c r="RV30" s="235"/>
      <c r="RW30" s="235"/>
      <c r="RX30" s="235"/>
      <c r="RY30" s="235"/>
      <c r="RZ30" s="235"/>
      <c r="SA30" s="235"/>
      <c r="SB30" s="235"/>
      <c r="SC30" s="235"/>
      <c r="SD30" s="235"/>
      <c r="SE30" s="235"/>
      <c r="SF30" s="235"/>
      <c r="SG30" s="235"/>
      <c r="SH30" s="235"/>
      <c r="SI30" s="235"/>
      <c r="SJ30" s="235"/>
      <c r="SK30" s="235"/>
      <c r="SL30" s="235"/>
      <c r="SM30" s="235"/>
      <c r="SN30" s="235"/>
      <c r="SO30" s="235"/>
      <c r="SP30" s="235"/>
      <c r="SQ30" s="235"/>
      <c r="SR30" s="235"/>
      <c r="SS30" s="235"/>
      <c r="ST30" s="235"/>
      <c r="SU30" s="235"/>
      <c r="SV30" s="235"/>
      <c r="SW30" s="235"/>
      <c r="SX30" s="235"/>
      <c r="SY30" s="235"/>
      <c r="SZ30" s="235"/>
      <c r="TA30" s="235"/>
      <c r="TB30" s="235"/>
      <c r="TC30" s="235"/>
      <c r="TD30" s="235"/>
      <c r="TE30" s="235"/>
      <c r="TF30" s="235"/>
      <c r="TG30" s="235"/>
      <c r="TH30" s="235"/>
      <c r="TI30" s="235"/>
      <c r="TJ30" s="235"/>
      <c r="TK30" s="235"/>
      <c r="TL30" s="235"/>
      <c r="TM30" s="235"/>
      <c r="TN30" s="235"/>
      <c r="TO30" s="235"/>
      <c r="TP30" s="235"/>
      <c r="TQ30" s="235"/>
      <c r="TR30" s="235"/>
      <c r="TS30" s="235"/>
      <c r="TT30" s="235"/>
      <c r="TU30" s="235"/>
      <c r="TV30" s="235"/>
      <c r="TW30" s="235"/>
      <c r="TX30" s="235"/>
      <c r="TY30" s="235"/>
      <c r="TZ30" s="235"/>
      <c r="UA30" s="235"/>
      <c r="UB30" s="235"/>
      <c r="UC30" s="235"/>
      <c r="UD30" s="235"/>
      <c r="UE30" s="235"/>
      <c r="UF30" s="235"/>
      <c r="UG30" s="235"/>
      <c r="UH30" s="235"/>
      <c r="UI30" s="235"/>
      <c r="UJ30" s="235"/>
      <c r="UK30" s="235"/>
      <c r="UL30" s="235"/>
      <c r="UM30" s="235"/>
      <c r="UN30" s="235"/>
      <c r="UO30" s="235"/>
      <c r="UP30" s="235"/>
      <c r="UQ30" s="235"/>
      <c r="UR30" s="235"/>
      <c r="US30" s="235"/>
      <c r="UT30" s="235"/>
      <c r="UU30" s="235"/>
      <c r="UV30" s="235"/>
      <c r="UW30" s="235"/>
      <c r="UX30" s="235"/>
      <c r="UY30" s="235"/>
      <c r="UZ30" s="235"/>
      <c r="VA30" s="235"/>
      <c r="VB30" s="235"/>
      <c r="VC30" s="235"/>
      <c r="VD30" s="235"/>
      <c r="VE30" s="235"/>
      <c r="VF30" s="235"/>
      <c r="VG30" s="235"/>
      <c r="VH30" s="235"/>
      <c r="VI30" s="235"/>
      <c r="VJ30" s="235"/>
      <c r="VK30" s="235"/>
      <c r="VL30" s="235"/>
      <c r="VM30" s="235"/>
      <c r="VN30" s="235"/>
      <c r="VO30" s="235"/>
      <c r="VP30" s="235"/>
      <c r="VQ30" s="235"/>
      <c r="VR30" s="235"/>
      <c r="VS30" s="235"/>
      <c r="VT30" s="235"/>
      <c r="VU30" s="235"/>
      <c r="VV30" s="235"/>
      <c r="VW30" s="235"/>
      <c r="VX30" s="235"/>
      <c r="VY30" s="235"/>
      <c r="VZ30" s="235"/>
      <c r="WA30" s="235"/>
      <c r="WB30" s="235"/>
      <c r="WC30" s="235"/>
      <c r="WD30" s="235"/>
      <c r="WE30" s="235"/>
      <c r="WF30" s="235"/>
      <c r="WG30" s="235"/>
      <c r="WH30" s="235"/>
      <c r="WI30" s="235"/>
      <c r="WJ30" s="235"/>
      <c r="WK30" s="235"/>
      <c r="WL30" s="235"/>
      <c r="WM30" s="235"/>
      <c r="WN30" s="235"/>
      <c r="WO30" s="235"/>
      <c r="WP30" s="235"/>
      <c r="WQ30" s="235"/>
      <c r="WR30" s="235"/>
      <c r="WS30" s="235"/>
      <c r="WT30" s="235"/>
      <c r="WU30" s="235"/>
      <c r="WV30" s="235"/>
      <c r="WW30" s="235"/>
      <c r="WX30" s="235"/>
      <c r="WY30" s="235"/>
      <c r="WZ30" s="235"/>
      <c r="XA30" s="235"/>
      <c r="XB30" s="235"/>
      <c r="XC30" s="235"/>
      <c r="XD30" s="235"/>
      <c r="XE30" s="235"/>
      <c r="XF30" s="235"/>
      <c r="XG30" s="235"/>
      <c r="XH30" s="235"/>
      <c r="XI30" s="235"/>
      <c r="XJ30" s="235"/>
      <c r="XK30" s="235"/>
      <c r="XL30" s="235"/>
      <c r="XM30" s="235"/>
      <c r="XN30" s="235"/>
      <c r="XO30" s="235"/>
      <c r="XP30" s="235"/>
      <c r="XQ30" s="235"/>
      <c r="XR30" s="235"/>
      <c r="XS30" s="235"/>
      <c r="XT30" s="235"/>
      <c r="XU30" s="235"/>
      <c r="XV30" s="235"/>
      <c r="XW30" s="235"/>
      <c r="XX30" s="235"/>
      <c r="XY30" s="235"/>
      <c r="XZ30" s="235"/>
      <c r="YA30" s="235"/>
      <c r="YB30" s="235"/>
      <c r="YC30" s="235"/>
      <c r="YD30" s="235"/>
      <c r="YE30" s="235"/>
      <c r="YF30" s="235"/>
      <c r="YG30" s="235"/>
      <c r="YH30" s="235"/>
      <c r="YI30" s="235"/>
      <c r="YJ30" s="235"/>
      <c r="YK30" s="235"/>
      <c r="YL30" s="235"/>
      <c r="YM30" s="235"/>
      <c r="YN30" s="235"/>
      <c r="YO30" s="235"/>
      <c r="YP30" s="235"/>
      <c r="YQ30" s="235"/>
      <c r="YR30" s="235"/>
      <c r="YS30" s="235"/>
      <c r="YT30" s="235"/>
      <c r="YU30" s="235"/>
      <c r="YV30" s="235"/>
      <c r="YW30" s="235"/>
      <c r="YX30" s="235"/>
      <c r="YY30" s="235"/>
      <c r="YZ30" s="235"/>
      <c r="ZA30" s="235"/>
      <c r="ZB30" s="235"/>
      <c r="ZC30" s="235"/>
      <c r="ZD30" s="235"/>
      <c r="ZE30" s="235"/>
      <c r="ZF30" s="235"/>
      <c r="ZG30" s="235"/>
      <c r="ZH30" s="235"/>
      <c r="ZI30" s="235"/>
      <c r="ZJ30" s="235"/>
      <c r="ZK30" s="235"/>
      <c r="ZL30" s="235"/>
      <c r="ZM30" s="235"/>
      <c r="ZN30" s="235"/>
      <c r="ZO30" s="235"/>
      <c r="ZP30" s="235"/>
      <c r="ZQ30" s="235"/>
      <c r="ZR30" s="235"/>
      <c r="ZS30" s="235"/>
      <c r="ZT30" s="235"/>
      <c r="ZU30" s="235"/>
      <c r="ZV30" s="235"/>
      <c r="ZW30" s="235"/>
      <c r="ZX30" s="235"/>
      <c r="ZY30" s="235"/>
      <c r="ZZ30" s="235"/>
      <c r="AAA30" s="235"/>
      <c r="AAB30" s="235"/>
      <c r="AAC30" s="235"/>
      <c r="AAD30" s="235"/>
      <c r="AAE30" s="235"/>
      <c r="AAF30" s="235"/>
      <c r="AAG30" s="235"/>
      <c r="AAH30" s="235"/>
      <c r="AAI30" s="235"/>
      <c r="AAJ30" s="235"/>
      <c r="AAK30" s="235"/>
      <c r="AAL30" s="235"/>
      <c r="AAM30" s="235"/>
      <c r="AAN30" s="235"/>
      <c r="AAO30" s="235"/>
      <c r="AAP30" s="235"/>
      <c r="AAQ30" s="235"/>
      <c r="AAR30" s="235"/>
      <c r="AAS30" s="235"/>
      <c r="AAT30" s="235"/>
      <c r="AAU30" s="235"/>
      <c r="AAV30" s="235"/>
      <c r="AAW30" s="235"/>
      <c r="AAX30" s="235"/>
      <c r="AAY30" s="235"/>
      <c r="AAZ30" s="235"/>
      <c r="ABA30" s="235"/>
      <c r="ABB30" s="235"/>
      <c r="ABC30" s="235"/>
      <c r="ABD30" s="235"/>
      <c r="ABE30" s="235"/>
      <c r="ABF30" s="235"/>
      <c r="ABG30" s="235"/>
      <c r="ABH30" s="235"/>
      <c r="ABI30" s="235"/>
      <c r="ABJ30" s="235"/>
      <c r="ABK30" s="235"/>
      <c r="ABL30" s="235"/>
      <c r="ABM30" s="235"/>
      <c r="ABN30" s="235"/>
      <c r="ABO30" s="235"/>
      <c r="ABP30" s="235"/>
      <c r="ABQ30" s="235"/>
      <c r="ABR30" s="235"/>
      <c r="ABS30" s="235"/>
      <c r="ABT30" s="235"/>
      <c r="ABU30" s="235"/>
      <c r="ABV30" s="235"/>
      <c r="ABW30" s="235"/>
      <c r="ABX30" s="235"/>
      <c r="ABY30" s="235"/>
      <c r="ABZ30" s="235"/>
      <c r="ACA30" s="235"/>
      <c r="ACB30" s="235"/>
      <c r="ACC30" s="235"/>
      <c r="ACD30" s="235"/>
      <c r="ACE30" s="235"/>
      <c r="ACF30" s="235"/>
      <c r="ACG30" s="235"/>
      <c r="ACH30" s="235"/>
      <c r="ACI30" s="235"/>
      <c r="ACJ30" s="235"/>
      <c r="ACK30" s="235"/>
      <c r="ACL30" s="235"/>
      <c r="ACM30" s="235"/>
      <c r="ACN30" s="235"/>
      <c r="ACO30" s="235"/>
      <c r="ACP30" s="235"/>
      <c r="ACQ30" s="235"/>
      <c r="ACR30" s="235"/>
      <c r="ACS30" s="235"/>
      <c r="ACT30" s="235"/>
      <c r="ACU30" s="235"/>
      <c r="ACV30" s="235"/>
      <c r="ACW30" s="235"/>
      <c r="ACX30" s="235"/>
      <c r="ACY30" s="235"/>
      <c r="ACZ30" s="235"/>
      <c r="ADA30" s="235"/>
      <c r="ADB30" s="235"/>
      <c r="ADC30" s="235"/>
      <c r="ADD30" s="235"/>
      <c r="ADE30" s="235"/>
      <c r="ADF30" s="235"/>
      <c r="ADG30" s="235"/>
      <c r="ADH30" s="235"/>
      <c r="ADI30" s="235"/>
      <c r="ADJ30" s="235"/>
      <c r="ADK30" s="235"/>
      <c r="ADL30" s="235"/>
      <c r="ADM30" s="235"/>
      <c r="ADN30" s="235"/>
      <c r="ADO30" s="235"/>
      <c r="ADP30" s="235"/>
      <c r="ADQ30" s="235"/>
      <c r="ADR30" s="235"/>
      <c r="ADS30" s="235"/>
      <c r="ADT30" s="235"/>
      <c r="ADU30" s="235"/>
      <c r="ADV30" s="235"/>
      <c r="ADW30" s="235"/>
      <c r="ADX30" s="235"/>
      <c r="ADY30" s="235"/>
      <c r="ADZ30" s="235"/>
      <c r="AEA30" s="235"/>
      <c r="AEB30" s="235"/>
      <c r="AEC30" s="235"/>
      <c r="AED30" s="235"/>
      <c r="AEE30" s="235"/>
      <c r="AEF30" s="235"/>
      <c r="AEG30" s="235"/>
      <c r="AEH30" s="235"/>
      <c r="AEI30" s="235"/>
      <c r="AEJ30" s="235"/>
      <c r="AEK30" s="235"/>
      <c r="AEL30" s="235"/>
      <c r="AEM30" s="235"/>
      <c r="AEN30" s="235"/>
      <c r="AEO30" s="235"/>
      <c r="AEP30" s="235"/>
      <c r="AEQ30" s="235"/>
      <c r="AER30" s="235"/>
      <c r="AES30" s="235"/>
      <c r="AET30" s="235"/>
      <c r="AEU30" s="235"/>
      <c r="AEV30" s="235"/>
      <c r="AEW30" s="235"/>
      <c r="AEX30" s="235"/>
      <c r="AEY30" s="235"/>
      <c r="AEZ30" s="235"/>
      <c r="AFA30" s="235"/>
      <c r="AFB30" s="235"/>
      <c r="AFC30" s="235"/>
      <c r="AFD30" s="235"/>
      <c r="AFE30" s="235"/>
      <c r="AFF30" s="235"/>
      <c r="AFG30" s="235"/>
      <c r="AFH30" s="235"/>
      <c r="AFI30" s="235"/>
      <c r="AFJ30" s="235"/>
      <c r="AFK30" s="235"/>
      <c r="AFL30" s="235"/>
      <c r="AFM30" s="235"/>
      <c r="AFN30" s="235"/>
      <c r="AFO30" s="235"/>
      <c r="AFP30" s="235"/>
      <c r="AFQ30" s="235"/>
      <c r="AFR30" s="235"/>
      <c r="AFS30" s="235"/>
      <c r="AFT30" s="235"/>
      <c r="AFU30" s="235"/>
      <c r="AFV30" s="235"/>
      <c r="AFW30" s="235"/>
      <c r="AFX30" s="235"/>
      <c r="AFY30" s="235"/>
      <c r="AFZ30" s="235"/>
      <c r="AGA30" s="235"/>
      <c r="AGB30" s="235"/>
      <c r="AGC30" s="235"/>
      <c r="AGD30" s="235"/>
      <c r="AGE30" s="235"/>
      <c r="AGF30" s="235"/>
      <c r="AGG30" s="235"/>
      <c r="AGH30" s="235"/>
      <c r="AGI30" s="235"/>
      <c r="AGJ30" s="235"/>
      <c r="AGK30" s="235"/>
      <c r="AGL30" s="235"/>
      <c r="AGM30" s="235"/>
      <c r="AGN30" s="235"/>
      <c r="AGO30" s="235"/>
      <c r="AGP30" s="235"/>
      <c r="AGQ30" s="235"/>
      <c r="AGR30" s="235"/>
      <c r="AGS30" s="235"/>
      <c r="AGT30" s="235"/>
      <c r="AGU30" s="235"/>
      <c r="AGV30" s="235"/>
      <c r="AGW30" s="235"/>
      <c r="AGX30" s="235"/>
      <c r="AGY30" s="235"/>
      <c r="AGZ30" s="235"/>
      <c r="AHA30" s="235"/>
      <c r="AHB30" s="235"/>
      <c r="AHC30" s="235"/>
      <c r="AHD30" s="235"/>
      <c r="AHE30" s="235"/>
      <c r="AHF30" s="235"/>
      <c r="AHG30" s="235"/>
      <c r="AHH30" s="235"/>
      <c r="AHI30" s="235"/>
      <c r="AHJ30" s="235"/>
      <c r="AHK30" s="235"/>
      <c r="AHL30" s="235"/>
      <c r="AHM30" s="235"/>
      <c r="AHN30" s="235"/>
      <c r="AHO30" s="235"/>
      <c r="AHP30" s="235"/>
      <c r="AHQ30" s="235"/>
      <c r="AHR30" s="235"/>
      <c r="AHS30" s="235"/>
      <c r="AHT30" s="235"/>
      <c r="AHU30" s="235"/>
      <c r="AHV30" s="235"/>
      <c r="AHW30" s="235"/>
      <c r="AHX30" s="235"/>
      <c r="AHY30" s="235"/>
      <c r="AHZ30" s="235"/>
      <c r="AIA30" s="235"/>
      <c r="AIB30" s="235"/>
      <c r="AIC30" s="235"/>
      <c r="AID30" s="235"/>
      <c r="AIE30" s="235"/>
      <c r="AIF30" s="235"/>
      <c r="AIG30" s="235"/>
      <c r="AIH30" s="235"/>
      <c r="AII30" s="235"/>
      <c r="AIJ30" s="235"/>
      <c r="AIK30" s="235"/>
      <c r="AIL30" s="235"/>
      <c r="AIM30" s="235"/>
      <c r="AIN30" s="235"/>
      <c r="AIO30" s="235"/>
      <c r="AIP30" s="235"/>
      <c r="AIQ30" s="235"/>
      <c r="AIR30" s="235"/>
      <c r="AIS30" s="235"/>
      <c r="AIT30" s="235"/>
      <c r="AIU30" s="235"/>
      <c r="AIV30" s="235"/>
      <c r="AIW30" s="235"/>
      <c r="AIX30" s="235"/>
      <c r="AIY30" s="235"/>
      <c r="AIZ30" s="235"/>
      <c r="AJA30" s="235"/>
      <c r="AJB30" s="235"/>
      <c r="AJC30" s="235"/>
      <c r="AJD30" s="235"/>
      <c r="AJE30" s="235"/>
      <c r="AJF30" s="235"/>
      <c r="AJG30" s="235"/>
      <c r="AJH30" s="235"/>
      <c r="AJI30" s="235"/>
      <c r="AJJ30" s="235"/>
      <c r="AJK30" s="235"/>
      <c r="AJL30" s="235"/>
      <c r="AJM30" s="235"/>
      <c r="AJN30" s="235"/>
      <c r="AJO30" s="235"/>
      <c r="AJP30" s="235"/>
      <c r="AJQ30" s="235"/>
      <c r="AJR30" s="235"/>
      <c r="AJS30" s="235"/>
      <c r="AJT30" s="235"/>
      <c r="AJU30" s="235"/>
      <c r="AJV30" s="235"/>
      <c r="AJW30" s="235"/>
      <c r="AJX30" s="235"/>
      <c r="AJY30" s="235"/>
      <c r="AJZ30" s="235"/>
      <c r="AKA30" s="235"/>
      <c r="AKB30" s="235"/>
      <c r="AKC30" s="235"/>
      <c r="AKD30" s="235"/>
      <c r="AKE30" s="235"/>
      <c r="AKF30" s="235"/>
      <c r="AKG30" s="235"/>
      <c r="AKH30" s="235"/>
      <c r="AKI30" s="235"/>
      <c r="AKJ30" s="235"/>
      <c r="AKK30" s="235"/>
      <c r="AKL30" s="235"/>
      <c r="AKM30" s="235"/>
      <c r="AKN30" s="235"/>
      <c r="AKO30" s="235"/>
      <c r="AKP30" s="235"/>
      <c r="AKQ30" s="235"/>
      <c r="AKR30" s="235"/>
      <c r="AKS30" s="235"/>
      <c r="AKT30" s="235"/>
      <c r="AKU30" s="235"/>
      <c r="AKV30" s="235"/>
      <c r="AKW30" s="235"/>
      <c r="AKX30" s="235"/>
      <c r="AKY30" s="235"/>
      <c r="AKZ30" s="235"/>
      <c r="ALA30" s="235"/>
      <c r="ALB30" s="235"/>
      <c r="ALC30" s="235"/>
      <c r="ALD30" s="235"/>
      <c r="ALE30" s="235"/>
      <c r="ALF30" s="235"/>
      <c r="ALG30" s="235"/>
      <c r="ALH30" s="235"/>
      <c r="ALI30" s="235"/>
      <c r="ALJ30" s="235"/>
      <c r="ALK30" s="235"/>
      <c r="ALL30" s="235"/>
      <c r="ALM30" s="235"/>
      <c r="ALN30" s="235"/>
      <c r="ALO30" s="235"/>
      <c r="ALP30" s="235"/>
      <c r="ALQ30" s="235"/>
      <c r="ALR30" s="235"/>
      <c r="ALS30" s="235"/>
      <c r="ALT30" s="235"/>
      <c r="ALU30" s="235"/>
      <c r="ALV30" s="235"/>
      <c r="ALW30" s="235"/>
      <c r="ALX30" s="235"/>
      <c r="ALY30" s="235"/>
      <c r="ALZ30" s="235"/>
      <c r="AMA30" s="235"/>
      <c r="AMB30" s="235"/>
      <c r="AMC30" s="235"/>
      <c r="AMD30" s="235"/>
      <c r="AME30" s="235"/>
      <c r="AMF30" s="235"/>
      <c r="AMG30" s="235"/>
      <c r="AMH30" s="235"/>
      <c r="AMI30" s="235"/>
      <c r="AMJ30" s="235"/>
    </row>
    <row r="31" customFormat="false" ht="18" hidden="false" customHeight="true" outlineLevel="0" collapsed="false">
      <c r="A31" s="235"/>
      <c r="B31" s="237" t="s">
        <v>22</v>
      </c>
      <c r="C31" s="237" t="s">
        <v>22</v>
      </c>
      <c r="D31" s="238" t="s">
        <v>130</v>
      </c>
      <c r="E31" s="231" t="s">
        <v>288</v>
      </c>
      <c r="F31" s="241" t="n">
        <v>0</v>
      </c>
      <c r="G31" s="232" t="n">
        <v>0.02</v>
      </c>
      <c r="H31" s="232" t="n">
        <f aca="false">HLOOKUP(G31,BDI!$D$19:$J$30,12,)</f>
        <v>0.2707</v>
      </c>
      <c r="I31" s="240" t="n">
        <v>2966.29</v>
      </c>
      <c r="J31" s="240" t="n">
        <v>585.4</v>
      </c>
      <c r="K31" s="240" t="n">
        <v>2380.89</v>
      </c>
      <c r="L31" s="240" t="n">
        <v>0</v>
      </c>
      <c r="M31" s="240" t="s">
        <v>261</v>
      </c>
      <c r="N31" s="240" t="s">
        <v>259</v>
      </c>
      <c r="O31" s="125"/>
      <c r="P31" s="125"/>
      <c r="Q31" s="125"/>
      <c r="R31" s="125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25"/>
      <c r="AV31" s="125"/>
      <c r="AW31" s="125"/>
      <c r="AX31" s="125"/>
      <c r="AY31" s="125"/>
      <c r="AZ31" s="125"/>
      <c r="BA31" s="125"/>
      <c r="BB31" s="125"/>
      <c r="BC31" s="125"/>
      <c r="BD31" s="125"/>
      <c r="BE31" s="125"/>
      <c r="BF31" s="125"/>
      <c r="BG31" s="125"/>
      <c r="BH31" s="125"/>
      <c r="BI31" s="125"/>
      <c r="BJ31" s="125"/>
      <c r="BK31" s="125"/>
      <c r="BL31" s="125"/>
      <c r="BM31" s="125"/>
      <c r="BN31" s="125"/>
      <c r="BO31" s="125"/>
      <c r="BP31" s="125"/>
      <c r="BQ31" s="125"/>
      <c r="BR31" s="125"/>
      <c r="BS31" s="125"/>
      <c r="BT31" s="125"/>
      <c r="BU31" s="125"/>
      <c r="BV31" s="125"/>
      <c r="BW31" s="125"/>
      <c r="BX31" s="125"/>
      <c r="BY31" s="125"/>
      <c r="BZ31" s="125"/>
      <c r="CA31" s="125"/>
      <c r="CB31" s="125"/>
      <c r="CC31" s="125"/>
      <c r="CD31" s="125"/>
      <c r="CE31" s="125"/>
      <c r="CF31" s="125"/>
      <c r="CG31" s="125"/>
      <c r="CH31" s="125"/>
      <c r="CI31" s="125"/>
      <c r="CJ31" s="125"/>
      <c r="CK31" s="125"/>
      <c r="CL31" s="125"/>
      <c r="CM31" s="125"/>
      <c r="CN31" s="125"/>
      <c r="CO31" s="125"/>
      <c r="CP31" s="125"/>
      <c r="CQ31" s="125"/>
      <c r="CR31" s="125"/>
      <c r="CS31" s="125"/>
      <c r="CT31" s="125"/>
      <c r="CU31" s="125"/>
      <c r="CV31" s="125"/>
      <c r="CW31" s="125"/>
      <c r="CX31" s="125"/>
      <c r="CY31" s="125"/>
      <c r="CZ31" s="125"/>
      <c r="DA31" s="125"/>
      <c r="DB31" s="125"/>
      <c r="DC31" s="125"/>
      <c r="DD31" s="125"/>
      <c r="DE31" s="125"/>
      <c r="DF31" s="125"/>
      <c r="DG31" s="125"/>
      <c r="DH31" s="125"/>
      <c r="DI31" s="125"/>
      <c r="DJ31" s="125"/>
      <c r="DK31" s="125"/>
      <c r="DL31" s="125"/>
      <c r="DM31" s="125"/>
      <c r="DN31" s="125"/>
      <c r="DO31" s="125"/>
      <c r="DP31" s="125"/>
      <c r="DQ31" s="125"/>
      <c r="DR31" s="125"/>
      <c r="DS31" s="125"/>
      <c r="DT31" s="125"/>
      <c r="DU31" s="125"/>
      <c r="DV31" s="125"/>
      <c r="DW31" s="125"/>
      <c r="DX31" s="125"/>
      <c r="DY31" s="125"/>
      <c r="DZ31" s="125"/>
      <c r="EA31" s="125"/>
      <c r="EB31" s="125"/>
      <c r="EC31" s="125"/>
      <c r="ED31" s="125"/>
      <c r="EE31" s="125"/>
      <c r="EF31" s="125"/>
      <c r="EG31" s="125"/>
      <c r="EH31" s="125"/>
      <c r="EI31" s="125"/>
      <c r="EJ31" s="125"/>
      <c r="EK31" s="125"/>
      <c r="EL31" s="125"/>
      <c r="EM31" s="125"/>
      <c r="EN31" s="125"/>
      <c r="EO31" s="125"/>
      <c r="EP31" s="125"/>
      <c r="EQ31" s="125"/>
      <c r="ER31" s="125"/>
      <c r="ES31" s="125"/>
      <c r="ET31" s="125"/>
      <c r="EU31" s="125"/>
      <c r="EV31" s="125"/>
      <c r="EW31" s="125"/>
      <c r="EX31" s="125"/>
      <c r="EY31" s="125"/>
      <c r="EZ31" s="125"/>
      <c r="FA31" s="125"/>
      <c r="FB31" s="125"/>
      <c r="FC31" s="125"/>
      <c r="FD31" s="125"/>
      <c r="FE31" s="125"/>
      <c r="FF31" s="125"/>
      <c r="FG31" s="125"/>
      <c r="FH31" s="125"/>
      <c r="FI31" s="125"/>
      <c r="FJ31" s="125"/>
      <c r="FK31" s="125"/>
      <c r="FL31" s="125"/>
      <c r="FM31" s="125"/>
      <c r="FN31" s="125"/>
      <c r="FO31" s="125"/>
      <c r="FP31" s="125"/>
      <c r="FQ31" s="125"/>
      <c r="FR31" s="125"/>
      <c r="FS31" s="125"/>
      <c r="FT31" s="125"/>
      <c r="FU31" s="125"/>
      <c r="FV31" s="125"/>
      <c r="FW31" s="125"/>
      <c r="FX31" s="125"/>
      <c r="FY31" s="125"/>
      <c r="FZ31" s="125"/>
      <c r="GA31" s="125"/>
      <c r="GB31" s="125"/>
      <c r="GC31" s="125"/>
      <c r="GD31" s="125"/>
      <c r="GE31" s="125"/>
      <c r="GF31" s="125"/>
      <c r="GG31" s="125"/>
      <c r="GH31" s="125"/>
      <c r="GI31" s="125"/>
      <c r="GJ31" s="125"/>
      <c r="GK31" s="125"/>
      <c r="GL31" s="125"/>
      <c r="GM31" s="125"/>
      <c r="GN31" s="125"/>
      <c r="GO31" s="125"/>
      <c r="GP31" s="125"/>
      <c r="GQ31" s="125"/>
      <c r="GR31" s="125"/>
      <c r="GS31" s="125"/>
      <c r="GT31" s="125"/>
      <c r="GU31" s="125"/>
      <c r="GV31" s="125"/>
      <c r="GW31" s="125"/>
      <c r="GX31" s="125"/>
      <c r="GY31" s="125"/>
      <c r="GZ31" s="125"/>
      <c r="HA31" s="125"/>
      <c r="HB31" s="125"/>
      <c r="HC31" s="125"/>
      <c r="HD31" s="125"/>
      <c r="HE31" s="125"/>
      <c r="HF31" s="125"/>
      <c r="HG31" s="125"/>
      <c r="HH31" s="125"/>
      <c r="HI31" s="125"/>
      <c r="HJ31" s="125"/>
      <c r="HK31" s="125"/>
      <c r="HL31" s="125"/>
      <c r="HM31" s="125"/>
      <c r="HN31" s="125"/>
      <c r="HO31" s="125"/>
      <c r="HP31" s="125"/>
      <c r="HQ31" s="125"/>
      <c r="HR31" s="125"/>
      <c r="HS31" s="125"/>
      <c r="HT31" s="125"/>
      <c r="HU31" s="125"/>
      <c r="HV31" s="125"/>
      <c r="HW31" s="125"/>
      <c r="HX31" s="125"/>
      <c r="HY31" s="125"/>
      <c r="HZ31" s="125"/>
      <c r="IA31" s="125"/>
      <c r="IB31" s="125"/>
      <c r="IC31" s="125"/>
      <c r="ID31" s="125"/>
      <c r="IE31" s="125"/>
      <c r="IF31" s="125"/>
      <c r="IG31" s="125"/>
      <c r="IH31" s="125"/>
      <c r="II31" s="125"/>
      <c r="IJ31" s="125"/>
      <c r="IK31" s="125"/>
      <c r="IL31" s="125"/>
      <c r="IM31" s="125"/>
      <c r="IN31" s="125"/>
      <c r="IO31" s="125"/>
      <c r="IP31" s="125"/>
      <c r="IQ31" s="125"/>
      <c r="IR31" s="125"/>
      <c r="IS31" s="125"/>
      <c r="IT31" s="125"/>
      <c r="IU31" s="125"/>
      <c r="IV31" s="125"/>
      <c r="IW31" s="125"/>
      <c r="IX31" s="125"/>
      <c r="IY31" s="125"/>
      <c r="IZ31" s="235"/>
      <c r="JA31" s="235"/>
      <c r="JB31" s="235"/>
      <c r="JC31" s="235"/>
      <c r="JD31" s="235"/>
      <c r="JE31" s="235"/>
      <c r="JF31" s="235"/>
      <c r="JG31" s="235"/>
      <c r="JH31" s="235"/>
      <c r="JI31" s="235"/>
      <c r="JJ31" s="235"/>
      <c r="JK31" s="235"/>
      <c r="JL31" s="235"/>
      <c r="JM31" s="235"/>
      <c r="JN31" s="235"/>
      <c r="JO31" s="235"/>
      <c r="JP31" s="235"/>
      <c r="JQ31" s="235"/>
      <c r="JR31" s="235"/>
      <c r="JS31" s="235"/>
      <c r="JT31" s="235"/>
      <c r="JU31" s="235"/>
      <c r="JV31" s="235"/>
      <c r="JW31" s="235"/>
      <c r="JX31" s="235"/>
      <c r="JY31" s="235"/>
      <c r="JZ31" s="235"/>
      <c r="KA31" s="235"/>
      <c r="KB31" s="235"/>
      <c r="KC31" s="235"/>
      <c r="KD31" s="235"/>
      <c r="KE31" s="235"/>
      <c r="KF31" s="235"/>
      <c r="KG31" s="235"/>
      <c r="KH31" s="235"/>
      <c r="KI31" s="235"/>
      <c r="KJ31" s="235"/>
      <c r="KK31" s="235"/>
      <c r="KL31" s="235"/>
      <c r="KM31" s="235"/>
      <c r="KN31" s="235"/>
      <c r="KO31" s="235"/>
      <c r="KP31" s="235"/>
      <c r="KQ31" s="235"/>
      <c r="KR31" s="235"/>
      <c r="KS31" s="235"/>
      <c r="KT31" s="235"/>
      <c r="KU31" s="235"/>
      <c r="KV31" s="235"/>
      <c r="KW31" s="235"/>
      <c r="KX31" s="235"/>
      <c r="KY31" s="235"/>
      <c r="KZ31" s="235"/>
      <c r="LA31" s="235"/>
      <c r="LB31" s="235"/>
      <c r="LC31" s="235"/>
      <c r="LD31" s="235"/>
      <c r="LE31" s="235"/>
      <c r="LF31" s="235"/>
      <c r="LG31" s="235"/>
      <c r="LH31" s="235"/>
      <c r="LI31" s="235"/>
      <c r="LJ31" s="235"/>
      <c r="LK31" s="235"/>
      <c r="LL31" s="235"/>
      <c r="LM31" s="235"/>
      <c r="LN31" s="235"/>
      <c r="LO31" s="235"/>
      <c r="LP31" s="235"/>
      <c r="LQ31" s="235"/>
      <c r="LR31" s="235"/>
      <c r="LS31" s="235"/>
      <c r="LT31" s="235"/>
      <c r="LU31" s="235"/>
      <c r="LV31" s="235"/>
      <c r="LW31" s="235"/>
      <c r="LX31" s="235"/>
      <c r="LY31" s="235"/>
      <c r="LZ31" s="235"/>
      <c r="MA31" s="235"/>
      <c r="MB31" s="235"/>
      <c r="MC31" s="235"/>
      <c r="MD31" s="235"/>
      <c r="ME31" s="235"/>
      <c r="MF31" s="235"/>
      <c r="MG31" s="235"/>
      <c r="MH31" s="235"/>
      <c r="MI31" s="235"/>
      <c r="MJ31" s="235"/>
      <c r="MK31" s="235"/>
      <c r="ML31" s="235"/>
      <c r="MM31" s="235"/>
      <c r="MN31" s="235"/>
      <c r="MO31" s="235"/>
      <c r="MP31" s="235"/>
      <c r="MQ31" s="235"/>
      <c r="MR31" s="235"/>
      <c r="MS31" s="235"/>
      <c r="MT31" s="235"/>
      <c r="MU31" s="235"/>
      <c r="MV31" s="235"/>
      <c r="MW31" s="235"/>
      <c r="MX31" s="235"/>
      <c r="MY31" s="235"/>
      <c r="MZ31" s="235"/>
      <c r="NA31" s="235"/>
      <c r="NB31" s="235"/>
      <c r="NC31" s="235"/>
      <c r="ND31" s="235"/>
      <c r="NE31" s="235"/>
      <c r="NF31" s="235"/>
      <c r="NG31" s="235"/>
      <c r="NH31" s="235"/>
      <c r="NI31" s="235"/>
      <c r="NJ31" s="235"/>
      <c r="NK31" s="235"/>
      <c r="NL31" s="235"/>
      <c r="NM31" s="235"/>
      <c r="NN31" s="235"/>
      <c r="NO31" s="235"/>
      <c r="NP31" s="235"/>
      <c r="NQ31" s="235"/>
      <c r="NR31" s="235"/>
      <c r="NS31" s="235"/>
      <c r="NT31" s="235"/>
      <c r="NU31" s="235"/>
      <c r="NV31" s="235"/>
      <c r="NW31" s="235"/>
      <c r="NX31" s="235"/>
      <c r="NY31" s="235"/>
      <c r="NZ31" s="235"/>
      <c r="OA31" s="235"/>
      <c r="OB31" s="235"/>
      <c r="OC31" s="235"/>
      <c r="OD31" s="235"/>
      <c r="OE31" s="235"/>
      <c r="OF31" s="235"/>
      <c r="OG31" s="235"/>
      <c r="OH31" s="235"/>
      <c r="OI31" s="235"/>
      <c r="OJ31" s="235"/>
      <c r="OK31" s="235"/>
      <c r="OL31" s="235"/>
      <c r="OM31" s="235"/>
      <c r="ON31" s="235"/>
      <c r="OO31" s="235"/>
      <c r="OP31" s="235"/>
      <c r="OQ31" s="235"/>
      <c r="OR31" s="235"/>
      <c r="OS31" s="235"/>
      <c r="OT31" s="235"/>
      <c r="OU31" s="235"/>
      <c r="OV31" s="235"/>
      <c r="OW31" s="235"/>
      <c r="OX31" s="235"/>
      <c r="OY31" s="235"/>
      <c r="OZ31" s="235"/>
      <c r="PA31" s="235"/>
      <c r="PB31" s="235"/>
      <c r="PC31" s="235"/>
      <c r="PD31" s="235"/>
      <c r="PE31" s="235"/>
      <c r="PF31" s="235"/>
      <c r="PG31" s="235"/>
      <c r="PH31" s="235"/>
      <c r="PI31" s="235"/>
      <c r="PJ31" s="235"/>
      <c r="PK31" s="235"/>
      <c r="PL31" s="235"/>
      <c r="PM31" s="235"/>
      <c r="PN31" s="235"/>
      <c r="PO31" s="235"/>
      <c r="PP31" s="235"/>
      <c r="PQ31" s="235"/>
      <c r="PR31" s="235"/>
      <c r="PS31" s="235"/>
      <c r="PT31" s="235"/>
      <c r="PU31" s="235"/>
      <c r="PV31" s="235"/>
      <c r="PW31" s="235"/>
      <c r="PX31" s="235"/>
      <c r="PY31" s="235"/>
      <c r="PZ31" s="235"/>
      <c r="QA31" s="235"/>
      <c r="QB31" s="235"/>
      <c r="QC31" s="235"/>
      <c r="QD31" s="235"/>
      <c r="QE31" s="235"/>
      <c r="QF31" s="235"/>
      <c r="QG31" s="235"/>
      <c r="QH31" s="235"/>
      <c r="QI31" s="235"/>
      <c r="QJ31" s="235"/>
      <c r="QK31" s="235"/>
      <c r="QL31" s="235"/>
      <c r="QM31" s="235"/>
      <c r="QN31" s="235"/>
      <c r="QO31" s="235"/>
      <c r="QP31" s="235"/>
      <c r="QQ31" s="235"/>
      <c r="QR31" s="235"/>
      <c r="QS31" s="235"/>
      <c r="QT31" s="235"/>
      <c r="QU31" s="235"/>
      <c r="QV31" s="235"/>
      <c r="QW31" s="235"/>
      <c r="QX31" s="235"/>
      <c r="QY31" s="235"/>
      <c r="QZ31" s="235"/>
      <c r="RA31" s="235"/>
      <c r="RB31" s="235"/>
      <c r="RC31" s="235"/>
      <c r="RD31" s="235"/>
      <c r="RE31" s="235"/>
      <c r="RF31" s="235"/>
      <c r="RG31" s="235"/>
      <c r="RH31" s="235"/>
      <c r="RI31" s="235"/>
      <c r="RJ31" s="235"/>
      <c r="RK31" s="235"/>
      <c r="RL31" s="235"/>
      <c r="RM31" s="235"/>
      <c r="RN31" s="235"/>
      <c r="RO31" s="235"/>
      <c r="RP31" s="235"/>
      <c r="RQ31" s="235"/>
      <c r="RR31" s="235"/>
      <c r="RS31" s="235"/>
      <c r="RT31" s="235"/>
      <c r="RU31" s="235"/>
      <c r="RV31" s="235"/>
      <c r="RW31" s="235"/>
      <c r="RX31" s="235"/>
      <c r="RY31" s="235"/>
      <c r="RZ31" s="235"/>
      <c r="SA31" s="235"/>
      <c r="SB31" s="235"/>
      <c r="SC31" s="235"/>
      <c r="SD31" s="235"/>
      <c r="SE31" s="235"/>
      <c r="SF31" s="235"/>
      <c r="SG31" s="235"/>
      <c r="SH31" s="235"/>
      <c r="SI31" s="235"/>
      <c r="SJ31" s="235"/>
      <c r="SK31" s="235"/>
      <c r="SL31" s="235"/>
      <c r="SM31" s="235"/>
      <c r="SN31" s="235"/>
      <c r="SO31" s="235"/>
      <c r="SP31" s="235"/>
      <c r="SQ31" s="235"/>
      <c r="SR31" s="235"/>
      <c r="SS31" s="235"/>
      <c r="ST31" s="235"/>
      <c r="SU31" s="235"/>
      <c r="SV31" s="235"/>
      <c r="SW31" s="235"/>
      <c r="SX31" s="235"/>
      <c r="SY31" s="235"/>
      <c r="SZ31" s="235"/>
      <c r="TA31" s="235"/>
      <c r="TB31" s="235"/>
      <c r="TC31" s="235"/>
      <c r="TD31" s="235"/>
      <c r="TE31" s="235"/>
      <c r="TF31" s="235"/>
      <c r="TG31" s="235"/>
      <c r="TH31" s="235"/>
      <c r="TI31" s="235"/>
      <c r="TJ31" s="235"/>
      <c r="TK31" s="235"/>
      <c r="TL31" s="235"/>
      <c r="TM31" s="235"/>
      <c r="TN31" s="235"/>
      <c r="TO31" s="235"/>
      <c r="TP31" s="235"/>
      <c r="TQ31" s="235"/>
      <c r="TR31" s="235"/>
      <c r="TS31" s="235"/>
      <c r="TT31" s="235"/>
      <c r="TU31" s="235"/>
      <c r="TV31" s="235"/>
      <c r="TW31" s="235"/>
      <c r="TX31" s="235"/>
      <c r="TY31" s="235"/>
      <c r="TZ31" s="235"/>
      <c r="UA31" s="235"/>
      <c r="UB31" s="235"/>
      <c r="UC31" s="235"/>
      <c r="UD31" s="235"/>
      <c r="UE31" s="235"/>
      <c r="UF31" s="235"/>
      <c r="UG31" s="235"/>
      <c r="UH31" s="235"/>
      <c r="UI31" s="235"/>
      <c r="UJ31" s="235"/>
      <c r="UK31" s="235"/>
      <c r="UL31" s="235"/>
      <c r="UM31" s="235"/>
      <c r="UN31" s="235"/>
      <c r="UO31" s="235"/>
      <c r="UP31" s="235"/>
      <c r="UQ31" s="235"/>
      <c r="UR31" s="235"/>
      <c r="US31" s="235"/>
      <c r="UT31" s="235"/>
      <c r="UU31" s="235"/>
      <c r="UV31" s="235"/>
      <c r="UW31" s="235"/>
      <c r="UX31" s="235"/>
      <c r="UY31" s="235"/>
      <c r="UZ31" s="235"/>
      <c r="VA31" s="235"/>
      <c r="VB31" s="235"/>
      <c r="VC31" s="235"/>
      <c r="VD31" s="235"/>
      <c r="VE31" s="235"/>
      <c r="VF31" s="235"/>
      <c r="VG31" s="235"/>
      <c r="VH31" s="235"/>
      <c r="VI31" s="235"/>
      <c r="VJ31" s="235"/>
      <c r="VK31" s="235"/>
      <c r="VL31" s="235"/>
      <c r="VM31" s="235"/>
      <c r="VN31" s="235"/>
      <c r="VO31" s="235"/>
      <c r="VP31" s="235"/>
      <c r="VQ31" s="235"/>
      <c r="VR31" s="235"/>
      <c r="VS31" s="235"/>
      <c r="VT31" s="235"/>
      <c r="VU31" s="235"/>
      <c r="VV31" s="235"/>
      <c r="VW31" s="235"/>
      <c r="VX31" s="235"/>
      <c r="VY31" s="235"/>
      <c r="VZ31" s="235"/>
      <c r="WA31" s="235"/>
      <c r="WB31" s="235"/>
      <c r="WC31" s="235"/>
      <c r="WD31" s="235"/>
      <c r="WE31" s="235"/>
      <c r="WF31" s="235"/>
      <c r="WG31" s="235"/>
      <c r="WH31" s="235"/>
      <c r="WI31" s="235"/>
      <c r="WJ31" s="235"/>
      <c r="WK31" s="235"/>
      <c r="WL31" s="235"/>
      <c r="WM31" s="235"/>
      <c r="WN31" s="235"/>
      <c r="WO31" s="235"/>
      <c r="WP31" s="235"/>
      <c r="WQ31" s="235"/>
      <c r="WR31" s="235"/>
      <c r="WS31" s="235"/>
      <c r="WT31" s="235"/>
      <c r="WU31" s="235"/>
      <c r="WV31" s="235"/>
      <c r="WW31" s="235"/>
      <c r="WX31" s="235"/>
      <c r="WY31" s="235"/>
      <c r="WZ31" s="235"/>
      <c r="XA31" s="235"/>
      <c r="XB31" s="235"/>
      <c r="XC31" s="235"/>
      <c r="XD31" s="235"/>
      <c r="XE31" s="235"/>
      <c r="XF31" s="235"/>
      <c r="XG31" s="235"/>
      <c r="XH31" s="235"/>
      <c r="XI31" s="235"/>
      <c r="XJ31" s="235"/>
      <c r="XK31" s="235"/>
      <c r="XL31" s="235"/>
      <c r="XM31" s="235"/>
      <c r="XN31" s="235"/>
      <c r="XO31" s="235"/>
      <c r="XP31" s="235"/>
      <c r="XQ31" s="235"/>
      <c r="XR31" s="235"/>
      <c r="XS31" s="235"/>
      <c r="XT31" s="235"/>
      <c r="XU31" s="235"/>
      <c r="XV31" s="235"/>
      <c r="XW31" s="235"/>
      <c r="XX31" s="235"/>
      <c r="XY31" s="235"/>
      <c r="XZ31" s="235"/>
      <c r="YA31" s="235"/>
      <c r="YB31" s="235"/>
      <c r="YC31" s="235"/>
      <c r="YD31" s="235"/>
      <c r="YE31" s="235"/>
      <c r="YF31" s="235"/>
      <c r="YG31" s="235"/>
      <c r="YH31" s="235"/>
      <c r="YI31" s="235"/>
      <c r="YJ31" s="235"/>
      <c r="YK31" s="235"/>
      <c r="YL31" s="235"/>
      <c r="YM31" s="235"/>
      <c r="YN31" s="235"/>
      <c r="YO31" s="235"/>
      <c r="YP31" s="235"/>
      <c r="YQ31" s="235"/>
      <c r="YR31" s="235"/>
      <c r="YS31" s="235"/>
      <c r="YT31" s="235"/>
      <c r="YU31" s="235"/>
      <c r="YV31" s="235"/>
      <c r="YW31" s="235"/>
      <c r="YX31" s="235"/>
      <c r="YY31" s="235"/>
      <c r="YZ31" s="235"/>
      <c r="ZA31" s="235"/>
      <c r="ZB31" s="235"/>
      <c r="ZC31" s="235"/>
      <c r="ZD31" s="235"/>
      <c r="ZE31" s="235"/>
      <c r="ZF31" s="235"/>
      <c r="ZG31" s="235"/>
      <c r="ZH31" s="235"/>
      <c r="ZI31" s="235"/>
      <c r="ZJ31" s="235"/>
      <c r="ZK31" s="235"/>
      <c r="ZL31" s="235"/>
      <c r="ZM31" s="235"/>
      <c r="ZN31" s="235"/>
      <c r="ZO31" s="235"/>
      <c r="ZP31" s="235"/>
      <c r="ZQ31" s="235"/>
      <c r="ZR31" s="235"/>
      <c r="ZS31" s="235"/>
      <c r="ZT31" s="235"/>
      <c r="ZU31" s="235"/>
      <c r="ZV31" s="235"/>
      <c r="ZW31" s="235"/>
      <c r="ZX31" s="235"/>
      <c r="ZY31" s="235"/>
      <c r="ZZ31" s="235"/>
      <c r="AAA31" s="235"/>
      <c r="AAB31" s="235"/>
      <c r="AAC31" s="235"/>
      <c r="AAD31" s="235"/>
      <c r="AAE31" s="235"/>
      <c r="AAF31" s="235"/>
      <c r="AAG31" s="235"/>
      <c r="AAH31" s="235"/>
      <c r="AAI31" s="235"/>
      <c r="AAJ31" s="235"/>
      <c r="AAK31" s="235"/>
      <c r="AAL31" s="235"/>
      <c r="AAM31" s="235"/>
      <c r="AAN31" s="235"/>
      <c r="AAO31" s="235"/>
      <c r="AAP31" s="235"/>
      <c r="AAQ31" s="235"/>
      <c r="AAR31" s="235"/>
      <c r="AAS31" s="235"/>
      <c r="AAT31" s="235"/>
      <c r="AAU31" s="235"/>
      <c r="AAV31" s="235"/>
      <c r="AAW31" s="235"/>
      <c r="AAX31" s="235"/>
      <c r="AAY31" s="235"/>
      <c r="AAZ31" s="235"/>
      <c r="ABA31" s="235"/>
      <c r="ABB31" s="235"/>
      <c r="ABC31" s="235"/>
      <c r="ABD31" s="235"/>
      <c r="ABE31" s="235"/>
      <c r="ABF31" s="235"/>
      <c r="ABG31" s="235"/>
      <c r="ABH31" s="235"/>
      <c r="ABI31" s="235"/>
      <c r="ABJ31" s="235"/>
      <c r="ABK31" s="235"/>
      <c r="ABL31" s="235"/>
      <c r="ABM31" s="235"/>
      <c r="ABN31" s="235"/>
      <c r="ABO31" s="235"/>
      <c r="ABP31" s="235"/>
      <c r="ABQ31" s="235"/>
      <c r="ABR31" s="235"/>
      <c r="ABS31" s="235"/>
      <c r="ABT31" s="235"/>
      <c r="ABU31" s="235"/>
      <c r="ABV31" s="235"/>
      <c r="ABW31" s="235"/>
      <c r="ABX31" s="235"/>
      <c r="ABY31" s="235"/>
      <c r="ABZ31" s="235"/>
      <c r="ACA31" s="235"/>
      <c r="ACB31" s="235"/>
      <c r="ACC31" s="235"/>
      <c r="ACD31" s="235"/>
      <c r="ACE31" s="235"/>
      <c r="ACF31" s="235"/>
      <c r="ACG31" s="235"/>
      <c r="ACH31" s="235"/>
      <c r="ACI31" s="235"/>
      <c r="ACJ31" s="235"/>
      <c r="ACK31" s="235"/>
      <c r="ACL31" s="235"/>
      <c r="ACM31" s="235"/>
      <c r="ACN31" s="235"/>
      <c r="ACO31" s="235"/>
      <c r="ACP31" s="235"/>
      <c r="ACQ31" s="235"/>
      <c r="ACR31" s="235"/>
      <c r="ACS31" s="235"/>
      <c r="ACT31" s="235"/>
      <c r="ACU31" s="235"/>
      <c r="ACV31" s="235"/>
      <c r="ACW31" s="235"/>
      <c r="ACX31" s="235"/>
      <c r="ACY31" s="235"/>
      <c r="ACZ31" s="235"/>
      <c r="ADA31" s="235"/>
      <c r="ADB31" s="235"/>
      <c r="ADC31" s="235"/>
      <c r="ADD31" s="235"/>
      <c r="ADE31" s="235"/>
      <c r="ADF31" s="235"/>
      <c r="ADG31" s="235"/>
      <c r="ADH31" s="235"/>
      <c r="ADI31" s="235"/>
      <c r="ADJ31" s="235"/>
      <c r="ADK31" s="235"/>
      <c r="ADL31" s="235"/>
      <c r="ADM31" s="235"/>
      <c r="ADN31" s="235"/>
      <c r="ADO31" s="235"/>
      <c r="ADP31" s="235"/>
      <c r="ADQ31" s="235"/>
      <c r="ADR31" s="235"/>
      <c r="ADS31" s="235"/>
      <c r="ADT31" s="235"/>
      <c r="ADU31" s="235"/>
      <c r="ADV31" s="235"/>
      <c r="ADW31" s="235"/>
      <c r="ADX31" s="235"/>
      <c r="ADY31" s="235"/>
      <c r="ADZ31" s="235"/>
      <c r="AEA31" s="235"/>
      <c r="AEB31" s="235"/>
      <c r="AEC31" s="235"/>
      <c r="AED31" s="235"/>
      <c r="AEE31" s="235"/>
      <c r="AEF31" s="235"/>
      <c r="AEG31" s="235"/>
      <c r="AEH31" s="235"/>
      <c r="AEI31" s="235"/>
      <c r="AEJ31" s="235"/>
      <c r="AEK31" s="235"/>
      <c r="AEL31" s="235"/>
      <c r="AEM31" s="235"/>
      <c r="AEN31" s="235"/>
      <c r="AEO31" s="235"/>
      <c r="AEP31" s="235"/>
      <c r="AEQ31" s="235"/>
      <c r="AER31" s="235"/>
      <c r="AES31" s="235"/>
      <c r="AET31" s="235"/>
      <c r="AEU31" s="235"/>
      <c r="AEV31" s="235"/>
      <c r="AEW31" s="235"/>
      <c r="AEX31" s="235"/>
      <c r="AEY31" s="235"/>
      <c r="AEZ31" s="235"/>
      <c r="AFA31" s="235"/>
      <c r="AFB31" s="235"/>
      <c r="AFC31" s="235"/>
      <c r="AFD31" s="235"/>
      <c r="AFE31" s="235"/>
      <c r="AFF31" s="235"/>
      <c r="AFG31" s="235"/>
      <c r="AFH31" s="235"/>
      <c r="AFI31" s="235"/>
      <c r="AFJ31" s="235"/>
      <c r="AFK31" s="235"/>
      <c r="AFL31" s="235"/>
      <c r="AFM31" s="235"/>
      <c r="AFN31" s="235"/>
      <c r="AFO31" s="235"/>
      <c r="AFP31" s="235"/>
      <c r="AFQ31" s="235"/>
      <c r="AFR31" s="235"/>
      <c r="AFS31" s="235"/>
      <c r="AFT31" s="235"/>
      <c r="AFU31" s="235"/>
      <c r="AFV31" s="235"/>
      <c r="AFW31" s="235"/>
      <c r="AFX31" s="235"/>
      <c r="AFY31" s="235"/>
      <c r="AFZ31" s="235"/>
      <c r="AGA31" s="235"/>
      <c r="AGB31" s="235"/>
      <c r="AGC31" s="235"/>
      <c r="AGD31" s="235"/>
      <c r="AGE31" s="235"/>
      <c r="AGF31" s="235"/>
      <c r="AGG31" s="235"/>
      <c r="AGH31" s="235"/>
      <c r="AGI31" s="235"/>
      <c r="AGJ31" s="235"/>
      <c r="AGK31" s="235"/>
      <c r="AGL31" s="235"/>
      <c r="AGM31" s="235"/>
      <c r="AGN31" s="235"/>
      <c r="AGO31" s="235"/>
      <c r="AGP31" s="235"/>
      <c r="AGQ31" s="235"/>
      <c r="AGR31" s="235"/>
      <c r="AGS31" s="235"/>
      <c r="AGT31" s="235"/>
      <c r="AGU31" s="235"/>
      <c r="AGV31" s="235"/>
      <c r="AGW31" s="235"/>
      <c r="AGX31" s="235"/>
      <c r="AGY31" s="235"/>
      <c r="AGZ31" s="235"/>
      <c r="AHA31" s="235"/>
      <c r="AHB31" s="235"/>
      <c r="AHC31" s="235"/>
      <c r="AHD31" s="235"/>
      <c r="AHE31" s="235"/>
      <c r="AHF31" s="235"/>
      <c r="AHG31" s="235"/>
      <c r="AHH31" s="235"/>
      <c r="AHI31" s="235"/>
      <c r="AHJ31" s="235"/>
      <c r="AHK31" s="235"/>
      <c r="AHL31" s="235"/>
      <c r="AHM31" s="235"/>
      <c r="AHN31" s="235"/>
      <c r="AHO31" s="235"/>
      <c r="AHP31" s="235"/>
      <c r="AHQ31" s="235"/>
      <c r="AHR31" s="235"/>
      <c r="AHS31" s="235"/>
      <c r="AHT31" s="235"/>
      <c r="AHU31" s="235"/>
      <c r="AHV31" s="235"/>
      <c r="AHW31" s="235"/>
      <c r="AHX31" s="235"/>
      <c r="AHY31" s="235"/>
      <c r="AHZ31" s="235"/>
      <c r="AIA31" s="235"/>
      <c r="AIB31" s="235"/>
      <c r="AIC31" s="235"/>
      <c r="AID31" s="235"/>
      <c r="AIE31" s="235"/>
      <c r="AIF31" s="235"/>
      <c r="AIG31" s="235"/>
      <c r="AIH31" s="235"/>
      <c r="AII31" s="235"/>
      <c r="AIJ31" s="235"/>
      <c r="AIK31" s="235"/>
      <c r="AIL31" s="235"/>
      <c r="AIM31" s="235"/>
      <c r="AIN31" s="235"/>
      <c r="AIO31" s="235"/>
      <c r="AIP31" s="235"/>
      <c r="AIQ31" s="235"/>
      <c r="AIR31" s="235"/>
      <c r="AIS31" s="235"/>
      <c r="AIT31" s="235"/>
      <c r="AIU31" s="235"/>
      <c r="AIV31" s="235"/>
      <c r="AIW31" s="235"/>
      <c r="AIX31" s="235"/>
      <c r="AIY31" s="235"/>
      <c r="AIZ31" s="235"/>
      <c r="AJA31" s="235"/>
      <c r="AJB31" s="235"/>
      <c r="AJC31" s="235"/>
      <c r="AJD31" s="235"/>
      <c r="AJE31" s="235"/>
      <c r="AJF31" s="235"/>
      <c r="AJG31" s="235"/>
      <c r="AJH31" s="235"/>
      <c r="AJI31" s="235"/>
      <c r="AJJ31" s="235"/>
      <c r="AJK31" s="235"/>
      <c r="AJL31" s="235"/>
      <c r="AJM31" s="235"/>
      <c r="AJN31" s="235"/>
      <c r="AJO31" s="235"/>
      <c r="AJP31" s="235"/>
      <c r="AJQ31" s="235"/>
      <c r="AJR31" s="235"/>
      <c r="AJS31" s="235"/>
      <c r="AJT31" s="235"/>
      <c r="AJU31" s="235"/>
      <c r="AJV31" s="235"/>
      <c r="AJW31" s="235"/>
      <c r="AJX31" s="235"/>
      <c r="AJY31" s="235"/>
      <c r="AJZ31" s="235"/>
      <c r="AKA31" s="235"/>
      <c r="AKB31" s="235"/>
      <c r="AKC31" s="235"/>
      <c r="AKD31" s="235"/>
      <c r="AKE31" s="235"/>
      <c r="AKF31" s="235"/>
      <c r="AKG31" s="235"/>
      <c r="AKH31" s="235"/>
      <c r="AKI31" s="235"/>
      <c r="AKJ31" s="235"/>
      <c r="AKK31" s="235"/>
      <c r="AKL31" s="235"/>
      <c r="AKM31" s="235"/>
      <c r="AKN31" s="235"/>
      <c r="AKO31" s="235"/>
      <c r="AKP31" s="235"/>
      <c r="AKQ31" s="235"/>
      <c r="AKR31" s="235"/>
      <c r="AKS31" s="235"/>
      <c r="AKT31" s="235"/>
      <c r="AKU31" s="235"/>
      <c r="AKV31" s="235"/>
      <c r="AKW31" s="235"/>
      <c r="AKX31" s="235"/>
      <c r="AKY31" s="235"/>
      <c r="AKZ31" s="235"/>
      <c r="ALA31" s="235"/>
      <c r="ALB31" s="235"/>
      <c r="ALC31" s="235"/>
      <c r="ALD31" s="235"/>
      <c r="ALE31" s="235"/>
      <c r="ALF31" s="235"/>
      <c r="ALG31" s="235"/>
      <c r="ALH31" s="235"/>
      <c r="ALI31" s="235"/>
      <c r="ALJ31" s="235"/>
      <c r="ALK31" s="235"/>
      <c r="ALL31" s="235"/>
      <c r="ALM31" s="235"/>
      <c r="ALN31" s="235"/>
      <c r="ALO31" s="235"/>
      <c r="ALP31" s="235"/>
      <c r="ALQ31" s="235"/>
      <c r="ALR31" s="235"/>
      <c r="ALS31" s="235"/>
      <c r="ALT31" s="235"/>
      <c r="ALU31" s="235"/>
      <c r="ALV31" s="235"/>
      <c r="ALW31" s="235"/>
      <c r="ALX31" s="235"/>
      <c r="ALY31" s="235"/>
      <c r="ALZ31" s="235"/>
      <c r="AMA31" s="235"/>
      <c r="AMB31" s="235"/>
      <c r="AMC31" s="235"/>
      <c r="AMD31" s="235"/>
      <c r="AME31" s="235"/>
      <c r="AMF31" s="235"/>
      <c r="AMG31" s="235"/>
      <c r="AMH31" s="235"/>
      <c r="AMI31" s="235"/>
      <c r="AMJ31" s="235"/>
    </row>
    <row r="32" customFormat="false" ht="18" hidden="false" customHeight="true" outlineLevel="0" collapsed="false">
      <c r="B32" s="229" t="s">
        <v>269</v>
      </c>
      <c r="C32" s="229" t="s">
        <v>22</v>
      </c>
      <c r="D32" s="230" t="s">
        <v>148</v>
      </c>
      <c r="E32" s="231" t="s">
        <v>289</v>
      </c>
      <c r="F32" s="236" t="n">
        <f aca="false">(95*2)/60</f>
        <v>3.16666666666667</v>
      </c>
      <c r="G32" s="232" t="n">
        <v>0.03</v>
      </c>
      <c r="H32" s="232" t="n">
        <f aca="false">HLOOKUP(G32,BDI!$D$19:$J$30,12,)</f>
        <v>0.2849</v>
      </c>
      <c r="I32" s="233" t="n">
        <v>1097.56</v>
      </c>
      <c r="J32" s="233" t="n">
        <v>460.43</v>
      </c>
      <c r="K32" s="233" t="n">
        <v>428.32</v>
      </c>
      <c r="L32" s="233" t="n">
        <v>208.81</v>
      </c>
      <c r="M32" s="233" t="s">
        <v>259</v>
      </c>
      <c r="N32" s="233" t="s">
        <v>261</v>
      </c>
    </row>
    <row r="33" customFormat="false" ht="18" hidden="false" customHeight="true" outlineLevel="0" collapsed="false">
      <c r="B33" s="229" t="s">
        <v>269</v>
      </c>
      <c r="C33" s="229" t="s">
        <v>22</v>
      </c>
      <c r="D33" s="230" t="s">
        <v>147</v>
      </c>
      <c r="E33" s="231" t="s">
        <v>290</v>
      </c>
      <c r="F33" s="236" t="n">
        <f aca="false">(88*2)/60</f>
        <v>2.93333333333333</v>
      </c>
      <c r="G33" s="232" t="n">
        <v>0.02</v>
      </c>
      <c r="H33" s="232" t="n">
        <f aca="false">HLOOKUP(G33,BDI!$D$19:$J$30,12,)</f>
        <v>0.2707</v>
      </c>
      <c r="I33" s="233" t="n">
        <v>2644.69</v>
      </c>
      <c r="J33" s="233" t="n">
        <v>837.46</v>
      </c>
      <c r="K33" s="233" t="n">
        <v>775.81</v>
      </c>
      <c r="L33" s="233" t="n">
        <v>1031.42</v>
      </c>
      <c r="M33" s="233" t="s">
        <v>261</v>
      </c>
      <c r="N33" s="233" t="s">
        <v>261</v>
      </c>
    </row>
    <row r="34" customFormat="false" ht="18" hidden="false" customHeight="true" outlineLevel="0" collapsed="false">
      <c r="B34" s="229" t="s">
        <v>269</v>
      </c>
      <c r="C34" s="229" t="s">
        <v>22</v>
      </c>
      <c r="D34" s="230" t="s">
        <v>146</v>
      </c>
      <c r="E34" s="231" t="s">
        <v>291</v>
      </c>
      <c r="F34" s="236" t="n">
        <f aca="false">(74*2)/60</f>
        <v>2.46666666666667</v>
      </c>
      <c r="G34" s="232" t="n">
        <v>0.04</v>
      </c>
      <c r="H34" s="232" t="n">
        <f aca="false">HLOOKUP(G34,BDI!$D$19:$J$30,12,)</f>
        <v>0.2994</v>
      </c>
      <c r="I34" s="233" t="n">
        <v>357.46</v>
      </c>
      <c r="J34" s="233" t="n">
        <v>307.46</v>
      </c>
      <c r="K34" s="233" t="n">
        <v>50</v>
      </c>
      <c r="L34" s="233" t="n">
        <v>0</v>
      </c>
      <c r="M34" s="233" t="s">
        <v>259</v>
      </c>
      <c r="N34" s="233" t="s">
        <v>259</v>
      </c>
    </row>
    <row r="35" customFormat="false" ht="18" hidden="false" customHeight="true" outlineLevel="0" collapsed="false">
      <c r="B35" s="229" t="s">
        <v>269</v>
      </c>
      <c r="C35" s="229" t="s">
        <v>22</v>
      </c>
      <c r="D35" s="230" t="s">
        <v>149</v>
      </c>
      <c r="E35" s="231" t="s">
        <v>292</v>
      </c>
      <c r="F35" s="236" t="n">
        <f aca="false">(89*2)/60</f>
        <v>2.96666666666667</v>
      </c>
      <c r="G35" s="232" t="n">
        <v>0.03</v>
      </c>
      <c r="H35" s="232" t="n">
        <f aca="false">HLOOKUP(G35,BDI!$D$19:$J$30,12,)</f>
        <v>0.2849</v>
      </c>
      <c r="I35" s="233" t="n">
        <v>1460.23</v>
      </c>
      <c r="J35" s="233" t="n">
        <v>628.98</v>
      </c>
      <c r="K35" s="233" t="n">
        <v>552.14</v>
      </c>
      <c r="L35" s="233" t="n">
        <v>279.11</v>
      </c>
      <c r="M35" s="233" t="s">
        <v>259</v>
      </c>
      <c r="N35" s="233" t="s">
        <v>261</v>
      </c>
    </row>
    <row r="1048576" customFormat="false" ht="12.75" hidden="false" customHeight="false" outlineLevel="0" collapsed="false"/>
  </sheetData>
  <mergeCells count="1">
    <mergeCell ref="B2:N2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J65540"/>
  <sheetViews>
    <sheetView showFormulas="false" showGridLines="false" showRowColHeaders="true" showZeros="true" rightToLeft="false" tabSelected="false" showOutlineSymbols="true" defaultGridColor="true" view="normal" topLeftCell="A17" colorId="64" zoomScale="100" zoomScaleNormal="100" zoomScalePageLayoutView="100" workbookViewId="0">
      <selection pane="topLeft" activeCell="D42" activeCellId="0" sqref="D42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42" width="15.62"/>
    <col collapsed="false" customWidth="true" hidden="false" outlineLevel="0" max="3" min="3" style="242" width="35.88"/>
    <col collapsed="false" customWidth="true" hidden="false" outlineLevel="0" max="4" min="4" style="53" width="11"/>
    <col collapsed="false" customWidth="true" hidden="false" outlineLevel="0" max="1023" min="5" style="1" width="10.38"/>
  </cols>
  <sheetData>
    <row r="1" customFormat="false" ht="15" hidden="false" customHeight="true" outlineLevel="0" collapsed="false"/>
    <row r="2" customFormat="false" ht="19.5" hidden="false" customHeight="true" outlineLevel="0" collapsed="false">
      <c r="B2" s="243" t="s">
        <v>293</v>
      </c>
      <c r="C2" s="243"/>
      <c r="D2" s="243"/>
      <c r="E2" s="243"/>
      <c r="F2" s="243"/>
      <c r="G2" s="243"/>
      <c r="H2" s="243"/>
      <c r="I2" s="243"/>
      <c r="J2" s="243"/>
    </row>
    <row r="3" customFormat="false" ht="19.5" hidden="false" customHeight="true" outlineLevel="0" collapsed="false">
      <c r="B3" s="244" t="str">
        <f aca="false">'Valor da Contratação'!B8</f>
        <v>DESONERADA</v>
      </c>
      <c r="C3" s="244"/>
      <c r="D3" s="244"/>
      <c r="E3" s="244"/>
      <c r="F3" s="244"/>
      <c r="G3" s="244"/>
      <c r="H3" s="244"/>
      <c r="I3" s="244"/>
      <c r="J3" s="244"/>
    </row>
    <row r="4" customFormat="false" ht="15" hidden="false" customHeight="true" outlineLevel="0" collapsed="false">
      <c r="B4" s="245"/>
      <c r="C4" s="245"/>
      <c r="D4" s="22"/>
    </row>
    <row r="5" customFormat="false" ht="15" hidden="false" customHeight="true" outlineLevel="0" collapsed="false">
      <c r="B5" s="246" t="s">
        <v>294</v>
      </c>
      <c r="C5" s="246"/>
      <c r="D5" s="246"/>
      <c r="E5" s="246"/>
      <c r="F5" s="246"/>
      <c r="G5" s="246"/>
      <c r="H5" s="246"/>
      <c r="I5" s="246"/>
      <c r="J5" s="246"/>
    </row>
    <row r="6" customFormat="false" ht="15" hidden="false" customHeight="true" outlineLevel="0" collapsed="false">
      <c r="B6" s="247"/>
      <c r="C6" s="2"/>
      <c r="D6" s="126"/>
      <c r="E6" s="126"/>
      <c r="J6" s="248"/>
    </row>
    <row r="7" customFormat="false" ht="15" hidden="false" customHeight="true" outlineLevel="0" collapsed="false">
      <c r="B7" s="249" t="s">
        <v>295</v>
      </c>
      <c r="C7" s="249"/>
      <c r="D7" s="249"/>
      <c r="E7" s="249"/>
      <c r="F7" s="249"/>
      <c r="G7" s="249"/>
      <c r="H7" s="249"/>
      <c r="I7" s="249"/>
      <c r="J7" s="249"/>
    </row>
    <row r="8" customFormat="false" ht="15" hidden="false" customHeight="true" outlineLevel="0" collapsed="false">
      <c r="B8" s="250"/>
      <c r="C8" s="251"/>
      <c r="D8" s="126"/>
      <c r="E8" s="126"/>
      <c r="J8" s="248"/>
    </row>
    <row r="9" customFormat="false" ht="15" hidden="false" customHeight="true" outlineLevel="0" collapsed="false">
      <c r="B9" s="252" t="s">
        <v>296</v>
      </c>
      <c r="C9" s="252"/>
      <c r="D9" s="252"/>
      <c r="E9" s="252"/>
      <c r="F9" s="252"/>
      <c r="G9" s="252"/>
      <c r="H9" s="252"/>
      <c r="I9" s="252"/>
      <c r="J9" s="252"/>
    </row>
    <row r="10" customFormat="false" ht="15" hidden="false" customHeight="true" outlineLevel="0" collapsed="false">
      <c r="B10" s="253" t="s">
        <v>297</v>
      </c>
      <c r="C10" s="253"/>
      <c r="D10" s="253"/>
      <c r="E10" s="253"/>
      <c r="F10" s="253"/>
      <c r="G10" s="253"/>
      <c r="H10" s="253"/>
      <c r="I10" s="253"/>
      <c r="J10" s="253"/>
    </row>
    <row r="11" customFormat="false" ht="15" hidden="false" customHeight="true" outlineLevel="0" collapsed="false">
      <c r="B11" s="253" t="s">
        <v>298</v>
      </c>
      <c r="C11" s="253"/>
      <c r="D11" s="253"/>
      <c r="E11" s="253"/>
      <c r="F11" s="253"/>
      <c r="G11" s="253"/>
      <c r="H11" s="253"/>
      <c r="I11" s="253"/>
      <c r="J11" s="253"/>
    </row>
    <row r="12" customFormat="false" ht="15" hidden="false" customHeight="true" outlineLevel="0" collapsed="false">
      <c r="B12" s="253" t="s">
        <v>299</v>
      </c>
      <c r="C12" s="253"/>
      <c r="D12" s="253"/>
      <c r="E12" s="253"/>
      <c r="F12" s="253"/>
      <c r="G12" s="253"/>
      <c r="H12" s="253"/>
      <c r="I12" s="253"/>
      <c r="J12" s="253"/>
    </row>
    <row r="13" customFormat="false" ht="15" hidden="false" customHeight="true" outlineLevel="0" collapsed="false">
      <c r="B13" s="253" t="s">
        <v>300</v>
      </c>
      <c r="C13" s="253"/>
      <c r="D13" s="253"/>
      <c r="E13" s="253"/>
      <c r="F13" s="253"/>
      <c r="G13" s="253"/>
      <c r="H13" s="253"/>
      <c r="I13" s="253"/>
      <c r="J13" s="253"/>
    </row>
    <row r="14" customFormat="false" ht="15" hidden="false" customHeight="true" outlineLevel="0" collapsed="false">
      <c r="B14" s="253" t="s">
        <v>301</v>
      </c>
      <c r="C14" s="253"/>
      <c r="D14" s="253"/>
      <c r="E14" s="253"/>
      <c r="F14" s="253"/>
      <c r="G14" s="253"/>
      <c r="H14" s="253"/>
      <c r="I14" s="253"/>
      <c r="J14" s="253"/>
    </row>
    <row r="15" customFormat="false" ht="15" hidden="false" customHeight="true" outlineLevel="0" collapsed="false">
      <c r="B15" s="253" t="s">
        <v>302</v>
      </c>
      <c r="C15" s="253"/>
      <c r="D15" s="253"/>
      <c r="E15" s="253"/>
      <c r="F15" s="253"/>
      <c r="G15" s="253"/>
      <c r="H15" s="253"/>
      <c r="I15" s="253"/>
      <c r="J15" s="253"/>
    </row>
    <row r="16" customFormat="false" ht="15" hidden="false" customHeight="true" outlineLevel="0" collapsed="false">
      <c r="B16" s="254" t="s">
        <v>303</v>
      </c>
      <c r="C16" s="254"/>
      <c r="D16" s="254"/>
      <c r="E16" s="254"/>
      <c r="F16" s="254"/>
      <c r="G16" s="254"/>
      <c r="H16" s="254"/>
      <c r="I16" s="254"/>
      <c r="J16" s="254"/>
    </row>
    <row r="17" customFormat="false" ht="24.75" hidden="false" customHeight="true" outlineLevel="0" collapsed="false">
      <c r="D17" s="22"/>
    </row>
    <row r="18" customFormat="false" ht="16.5" hidden="false" customHeight="true" outlineLevel="0" collapsed="false">
      <c r="B18" s="34" t="s">
        <v>304</v>
      </c>
      <c r="C18" s="34"/>
      <c r="D18" s="255" t="s">
        <v>251</v>
      </c>
      <c r="E18" s="255" t="s">
        <v>251</v>
      </c>
      <c r="F18" s="255" t="s">
        <v>251</v>
      </c>
      <c r="G18" s="256" t="s">
        <v>251</v>
      </c>
      <c r="H18" s="257" t="s">
        <v>251</v>
      </c>
      <c r="I18" s="257" t="s">
        <v>251</v>
      </c>
      <c r="J18" s="257" t="s">
        <v>251</v>
      </c>
    </row>
    <row r="19" customFormat="false" ht="16.5" hidden="false" customHeight="true" outlineLevel="0" collapsed="false">
      <c r="B19" s="34"/>
      <c r="C19" s="34"/>
      <c r="D19" s="258" t="n">
        <v>0.05</v>
      </c>
      <c r="E19" s="258" t="n">
        <v>0.04</v>
      </c>
      <c r="F19" s="258" t="n">
        <v>0.035</v>
      </c>
      <c r="G19" s="259" t="n">
        <v>0.03</v>
      </c>
      <c r="H19" s="260" t="n">
        <v>0.025</v>
      </c>
      <c r="I19" s="260" t="n">
        <v>0.02</v>
      </c>
      <c r="J19" s="260" t="n">
        <v>0.015</v>
      </c>
    </row>
    <row r="20" customFormat="false" ht="16.5" hidden="false" customHeight="true" outlineLevel="0" collapsed="false">
      <c r="B20" s="237" t="s">
        <v>305</v>
      </c>
      <c r="C20" s="261" t="s">
        <v>306</v>
      </c>
      <c r="D20" s="262" t="n">
        <v>0.04</v>
      </c>
      <c r="E20" s="262" t="n">
        <v>0.04</v>
      </c>
      <c r="F20" s="262" t="n">
        <v>0.04</v>
      </c>
      <c r="G20" s="262" t="n">
        <v>0.04</v>
      </c>
      <c r="H20" s="262" t="n">
        <v>0.04</v>
      </c>
      <c r="I20" s="262" t="n">
        <v>0.04</v>
      </c>
      <c r="J20" s="262" t="n">
        <v>0.04</v>
      </c>
    </row>
    <row r="21" customFormat="false" ht="16.5" hidden="false" customHeight="true" outlineLevel="0" collapsed="false">
      <c r="B21" s="237" t="s">
        <v>307</v>
      </c>
      <c r="C21" s="229" t="s">
        <v>308</v>
      </c>
      <c r="D21" s="263" t="n">
        <v>0.0123</v>
      </c>
      <c r="E21" s="263" t="n">
        <v>0.0123</v>
      </c>
      <c r="F21" s="263" t="n">
        <v>0.0123</v>
      </c>
      <c r="G21" s="263" t="n">
        <v>0.0123</v>
      </c>
      <c r="H21" s="263" t="n">
        <v>0.0123</v>
      </c>
      <c r="I21" s="263" t="n">
        <v>0.0123</v>
      </c>
      <c r="J21" s="263" t="n">
        <v>0.0123</v>
      </c>
    </row>
    <row r="22" customFormat="false" ht="16.5" hidden="false" customHeight="true" outlineLevel="0" collapsed="false">
      <c r="B22" s="237" t="s">
        <v>309</v>
      </c>
      <c r="C22" s="229" t="s">
        <v>310</v>
      </c>
      <c r="D22" s="263" t="n">
        <v>0.008</v>
      </c>
      <c r="E22" s="263" t="n">
        <v>0.008</v>
      </c>
      <c r="F22" s="263" t="n">
        <v>0.008</v>
      </c>
      <c r="G22" s="263" t="n">
        <v>0.008</v>
      </c>
      <c r="H22" s="263" t="n">
        <v>0.008</v>
      </c>
      <c r="I22" s="263" t="n">
        <v>0.008</v>
      </c>
      <c r="J22" s="263" t="n">
        <v>0.008</v>
      </c>
    </row>
    <row r="23" customFormat="false" ht="16.5" hidden="false" customHeight="true" outlineLevel="0" collapsed="false">
      <c r="B23" s="237" t="s">
        <v>311</v>
      </c>
      <c r="C23" s="229" t="s">
        <v>312</v>
      </c>
      <c r="D23" s="263" t="n">
        <v>0.0127</v>
      </c>
      <c r="E23" s="263" t="n">
        <v>0.0127</v>
      </c>
      <c r="F23" s="263" t="n">
        <v>0.0127</v>
      </c>
      <c r="G23" s="263" t="n">
        <v>0.0127</v>
      </c>
      <c r="H23" s="263" t="n">
        <v>0.0127</v>
      </c>
      <c r="I23" s="263" t="n">
        <v>0.0127</v>
      </c>
      <c r="J23" s="263" t="n">
        <v>0.0127</v>
      </c>
    </row>
    <row r="24" customFormat="false" ht="16.5" hidden="false" customHeight="true" outlineLevel="0" collapsed="false">
      <c r="B24" s="237" t="s">
        <v>313</v>
      </c>
      <c r="C24" s="229" t="s">
        <v>314</v>
      </c>
      <c r="D24" s="263" t="n">
        <v>0.074</v>
      </c>
      <c r="E24" s="263" t="n">
        <v>0.074</v>
      </c>
      <c r="F24" s="263" t="n">
        <v>0.074</v>
      </c>
      <c r="G24" s="263" t="n">
        <v>0.074</v>
      </c>
      <c r="H24" s="263" t="n">
        <v>0.074</v>
      </c>
      <c r="I24" s="263" t="n">
        <v>0.074</v>
      </c>
      <c r="J24" s="263" t="n">
        <v>0.074</v>
      </c>
    </row>
    <row r="25" customFormat="false" ht="16.5" hidden="false" customHeight="true" outlineLevel="0" collapsed="false">
      <c r="B25" s="237" t="s">
        <v>201</v>
      </c>
      <c r="C25" s="229" t="s">
        <v>315</v>
      </c>
      <c r="D25" s="263" t="n">
        <v>0.0065</v>
      </c>
      <c r="E25" s="263" t="n">
        <v>0.0065</v>
      </c>
      <c r="F25" s="263" t="n">
        <v>0.0065</v>
      </c>
      <c r="G25" s="263" t="n">
        <v>0.0065</v>
      </c>
      <c r="H25" s="263" t="n">
        <v>0.0065</v>
      </c>
      <c r="I25" s="263" t="n">
        <v>0.0065</v>
      </c>
      <c r="J25" s="263" t="n">
        <v>0.0065</v>
      </c>
    </row>
    <row r="26" customFormat="false" ht="16.5" hidden="false" customHeight="true" outlineLevel="0" collapsed="false">
      <c r="B26" s="237"/>
      <c r="C26" s="237" t="s">
        <v>316</v>
      </c>
      <c r="D26" s="264" t="n">
        <v>0.03</v>
      </c>
      <c r="E26" s="264" t="n">
        <v>0.03</v>
      </c>
      <c r="F26" s="264" t="n">
        <v>0.03</v>
      </c>
      <c r="G26" s="264" t="n">
        <v>0.03</v>
      </c>
      <c r="H26" s="264" t="n">
        <v>0.03</v>
      </c>
      <c r="I26" s="264" t="n">
        <v>0.03</v>
      </c>
      <c r="J26" s="264" t="n">
        <v>0.03</v>
      </c>
    </row>
    <row r="27" customFormat="false" ht="16.5" hidden="false" customHeight="true" outlineLevel="0" collapsed="false">
      <c r="B27" s="237"/>
      <c r="C27" s="237" t="s">
        <v>251</v>
      </c>
      <c r="D27" s="264" t="n">
        <v>0.05</v>
      </c>
      <c r="E27" s="264" t="n">
        <v>0.04</v>
      </c>
      <c r="F27" s="263" t="n">
        <v>0.035</v>
      </c>
      <c r="G27" s="264" t="n">
        <v>0.03</v>
      </c>
      <c r="H27" s="264" t="n">
        <v>0.025</v>
      </c>
      <c r="I27" s="264" t="n">
        <v>0.02</v>
      </c>
      <c r="J27" s="263" t="n">
        <v>0.015</v>
      </c>
    </row>
    <row r="28" customFormat="false" ht="16.5" hidden="false" customHeight="true" outlineLevel="0" collapsed="false">
      <c r="B28" s="237"/>
      <c r="C28" s="237" t="s">
        <v>317</v>
      </c>
      <c r="D28" s="264" t="n">
        <v>0.036</v>
      </c>
      <c r="E28" s="264" t="n">
        <v>0.036</v>
      </c>
      <c r="F28" s="264" t="n">
        <v>0.036</v>
      </c>
      <c r="G28" s="264" t="n">
        <v>0.036</v>
      </c>
      <c r="H28" s="264" t="n">
        <v>0.036</v>
      </c>
      <c r="I28" s="264" t="n">
        <v>0.036</v>
      </c>
      <c r="J28" s="264" t="n">
        <v>0.036</v>
      </c>
    </row>
    <row r="29" customFormat="false" ht="19.5" hidden="false" customHeight="true" outlineLevel="0" collapsed="false">
      <c r="B29" s="124" t="s">
        <v>318</v>
      </c>
      <c r="C29" s="124"/>
      <c r="D29" s="265" t="n">
        <f aca="false">(((1+D22+D20+D23)*(1+D21)*(1+D24))/(1-(D25+D26+D27+D28))-1)</f>
        <v>0.314192432068376</v>
      </c>
      <c r="E29" s="265" t="n">
        <f aca="false">(((1+E22+E20+E23)*(1+E21)*(1+E24))/(1-(E25+E26+E27+E28))-1)</f>
        <v>0.299384630016901</v>
      </c>
      <c r="F29" s="265" t="n">
        <f aca="false">(((1+F22+F20+F23)*(1+F21)*(1+F24))/(1-(F25+F26+F27+F28))-1)</f>
        <v>0.292105164302521</v>
      </c>
      <c r="G29" s="265" t="n">
        <f aca="false">(((1+G22+G20+G23)*(1+G21)*(1+G24))/(1-(G25+G26+G27+G28))-1)</f>
        <v>0.284906806841226</v>
      </c>
      <c r="H29" s="265" t="n">
        <f aca="false">(((1+H22+H20+H23)*(1+H21)*(1+H24))/(1-(H25+H26+H27+H28))-1)</f>
        <v>0.277788209573407</v>
      </c>
      <c r="I29" s="265" t="n">
        <f aca="false">(((1+I22+I20+I23)*(1+I21)*(1+I24))/(1-(I25+I26+I27+I28))-1)</f>
        <v>0.27074805414876</v>
      </c>
      <c r="J29" s="265" t="n">
        <f aca="false">(((1+J22+J20+J23)*(1+J21)*(1+J24))/(1-(J25+J26+J27+J28))-1)</f>
        <v>0.263785051112329</v>
      </c>
    </row>
    <row r="30" customFormat="false" ht="19.5" hidden="false" customHeight="true" outlineLevel="0" collapsed="false">
      <c r="B30" s="266" t="s">
        <v>319</v>
      </c>
      <c r="C30" s="266"/>
      <c r="D30" s="267" t="n">
        <f aca="false">ROUND(D29,4)</f>
        <v>0.3142</v>
      </c>
      <c r="E30" s="267" t="n">
        <f aca="false">ROUND(E29,4)</f>
        <v>0.2994</v>
      </c>
      <c r="F30" s="267" t="n">
        <f aca="false">ROUND(F29,4)</f>
        <v>0.2921</v>
      </c>
      <c r="G30" s="267" t="n">
        <f aca="false">ROUND(G29,4)</f>
        <v>0.2849</v>
      </c>
      <c r="H30" s="267" t="n">
        <f aca="false">ROUND(H29,4)</f>
        <v>0.2778</v>
      </c>
      <c r="I30" s="267" t="n">
        <f aca="false">ROUND(I29,4)</f>
        <v>0.2707</v>
      </c>
      <c r="J30" s="267" t="n">
        <f aca="false">ROUND(J29,4)</f>
        <v>0.2638</v>
      </c>
    </row>
    <row r="31" customFormat="false" ht="24.75" hidden="false" customHeight="true" outlineLevel="0" collapsed="false">
      <c r="B31" s="268"/>
      <c r="C31" s="268"/>
      <c r="D31" s="87"/>
      <c r="E31" s="87"/>
      <c r="F31" s="87"/>
      <c r="G31" s="87"/>
      <c r="H31" s="87"/>
      <c r="I31" s="87"/>
      <c r="J31" s="87"/>
    </row>
    <row r="32" customFormat="false" ht="16.5" hidden="false" customHeight="true" outlineLevel="0" collapsed="false">
      <c r="B32" s="34" t="s">
        <v>320</v>
      </c>
      <c r="C32" s="34"/>
      <c r="D32" s="255" t="s">
        <v>251</v>
      </c>
      <c r="E32" s="255" t="s">
        <v>251</v>
      </c>
      <c r="F32" s="255" t="s">
        <v>251</v>
      </c>
      <c r="G32" s="256" t="s">
        <v>251</v>
      </c>
      <c r="H32" s="257" t="s">
        <v>251</v>
      </c>
      <c r="I32" s="257" t="s">
        <v>251</v>
      </c>
      <c r="J32" s="257" t="s">
        <v>251</v>
      </c>
    </row>
    <row r="33" customFormat="false" ht="16.5" hidden="false" customHeight="true" outlineLevel="0" collapsed="false">
      <c r="B33" s="34"/>
      <c r="C33" s="34"/>
      <c r="D33" s="258" t="n">
        <v>0.05</v>
      </c>
      <c r="E33" s="258" t="n">
        <v>0.04</v>
      </c>
      <c r="F33" s="258" t="n">
        <v>0.035</v>
      </c>
      <c r="G33" s="259" t="n">
        <v>0.03</v>
      </c>
      <c r="H33" s="260" t="n">
        <v>0.025</v>
      </c>
      <c r="I33" s="260" t="n">
        <v>0.02</v>
      </c>
      <c r="J33" s="260" t="n">
        <v>0.015</v>
      </c>
    </row>
    <row r="34" customFormat="false" ht="16.5" hidden="false" customHeight="true" outlineLevel="0" collapsed="false">
      <c r="B34" s="237" t="s">
        <v>305</v>
      </c>
      <c r="C34" s="261" t="s">
        <v>306</v>
      </c>
      <c r="D34" s="263" t="n">
        <v>0.0345</v>
      </c>
      <c r="E34" s="263" t="n">
        <v>0.0345</v>
      </c>
      <c r="F34" s="263" t="n">
        <v>0.0345</v>
      </c>
      <c r="G34" s="263" t="n">
        <v>0.0345</v>
      </c>
      <c r="H34" s="263" t="n">
        <v>0.0345</v>
      </c>
      <c r="I34" s="263" t="n">
        <v>0.0345</v>
      </c>
      <c r="J34" s="263" t="n">
        <v>0.0345</v>
      </c>
    </row>
    <row r="35" customFormat="false" ht="16.5" hidden="false" customHeight="true" outlineLevel="0" collapsed="false">
      <c r="B35" s="237" t="s">
        <v>307</v>
      </c>
      <c r="C35" s="229" t="s">
        <v>308</v>
      </c>
      <c r="D35" s="263" t="n">
        <v>0.0085</v>
      </c>
      <c r="E35" s="263" t="n">
        <v>0.0085</v>
      </c>
      <c r="F35" s="263" t="n">
        <v>0.0085</v>
      </c>
      <c r="G35" s="263" t="n">
        <v>0.0085</v>
      </c>
      <c r="H35" s="263" t="n">
        <v>0.0085</v>
      </c>
      <c r="I35" s="263" t="n">
        <v>0.0085</v>
      </c>
      <c r="J35" s="263" t="n">
        <v>0.0085</v>
      </c>
    </row>
    <row r="36" customFormat="false" ht="16.5" hidden="false" customHeight="true" outlineLevel="0" collapsed="false">
      <c r="B36" s="237" t="s">
        <v>309</v>
      </c>
      <c r="C36" s="229" t="s">
        <v>310</v>
      </c>
      <c r="D36" s="263" t="n">
        <v>0.0048</v>
      </c>
      <c r="E36" s="263" t="n">
        <v>0.0048</v>
      </c>
      <c r="F36" s="263" t="n">
        <v>0.0048</v>
      </c>
      <c r="G36" s="263" t="n">
        <v>0.0048</v>
      </c>
      <c r="H36" s="263" t="n">
        <v>0.0048</v>
      </c>
      <c r="I36" s="263" t="n">
        <v>0.0048</v>
      </c>
      <c r="J36" s="263" t="n">
        <v>0.0048</v>
      </c>
    </row>
    <row r="37" customFormat="false" ht="16.5" hidden="false" customHeight="true" outlineLevel="0" collapsed="false">
      <c r="B37" s="237" t="s">
        <v>311</v>
      </c>
      <c r="C37" s="229" t="s">
        <v>312</v>
      </c>
      <c r="D37" s="263" t="n">
        <v>0.0085</v>
      </c>
      <c r="E37" s="263" t="n">
        <v>0.0085</v>
      </c>
      <c r="F37" s="263" t="n">
        <v>0.0085</v>
      </c>
      <c r="G37" s="263" t="n">
        <v>0.0085</v>
      </c>
      <c r="H37" s="263" t="n">
        <v>0.0085</v>
      </c>
      <c r="I37" s="263" t="n">
        <v>0.0085</v>
      </c>
      <c r="J37" s="263" t="n">
        <v>0.0085</v>
      </c>
    </row>
    <row r="38" customFormat="false" ht="16.5" hidden="false" customHeight="true" outlineLevel="0" collapsed="false">
      <c r="B38" s="237" t="s">
        <v>313</v>
      </c>
      <c r="C38" s="229" t="s">
        <v>314</v>
      </c>
      <c r="D38" s="263" t="n">
        <v>0.0511</v>
      </c>
      <c r="E38" s="263" t="n">
        <v>0.0511</v>
      </c>
      <c r="F38" s="263" t="n">
        <v>0.0511</v>
      </c>
      <c r="G38" s="263" t="n">
        <v>0.0511</v>
      </c>
      <c r="H38" s="263" t="n">
        <v>0.0511</v>
      </c>
      <c r="I38" s="263" t="n">
        <v>0.0511</v>
      </c>
      <c r="J38" s="263" t="n">
        <v>0.0511</v>
      </c>
    </row>
    <row r="39" customFormat="false" ht="16.5" hidden="false" customHeight="true" outlineLevel="0" collapsed="false">
      <c r="B39" s="237" t="s">
        <v>201</v>
      </c>
      <c r="C39" s="229" t="s">
        <v>315</v>
      </c>
      <c r="D39" s="263" t="n">
        <v>0.0065</v>
      </c>
      <c r="E39" s="263" t="n">
        <v>0.0065</v>
      </c>
      <c r="F39" s="263" t="n">
        <v>0.0065</v>
      </c>
      <c r="G39" s="263" t="n">
        <v>0.0065</v>
      </c>
      <c r="H39" s="263" t="n">
        <v>0.0065</v>
      </c>
      <c r="I39" s="263" t="n">
        <v>0.0065</v>
      </c>
      <c r="J39" s="263" t="n">
        <v>0.0065</v>
      </c>
    </row>
    <row r="40" customFormat="false" ht="16.5" hidden="false" customHeight="true" outlineLevel="0" collapsed="false">
      <c r="B40" s="237"/>
      <c r="C40" s="237" t="s">
        <v>316</v>
      </c>
      <c r="D40" s="264" t="n">
        <v>0.03</v>
      </c>
      <c r="E40" s="264" t="n">
        <v>0.03</v>
      </c>
      <c r="F40" s="264" t="n">
        <v>0.03</v>
      </c>
      <c r="G40" s="264" t="n">
        <v>0.03</v>
      </c>
      <c r="H40" s="264" t="n">
        <v>0.03</v>
      </c>
      <c r="I40" s="264" t="n">
        <v>0.03</v>
      </c>
      <c r="J40" s="264" t="n">
        <v>0.03</v>
      </c>
    </row>
    <row r="41" customFormat="false" ht="16.5" hidden="false" customHeight="true" outlineLevel="0" collapsed="false">
      <c r="B41" s="237"/>
      <c r="C41" s="237" t="s">
        <v>251</v>
      </c>
      <c r="D41" s="264" t="n">
        <v>0</v>
      </c>
      <c r="E41" s="264" t="n">
        <v>0</v>
      </c>
      <c r="F41" s="263" t="n">
        <v>0</v>
      </c>
      <c r="G41" s="264" t="n">
        <v>0</v>
      </c>
      <c r="H41" s="264" t="n">
        <v>0</v>
      </c>
      <c r="I41" s="264" t="n">
        <v>0</v>
      </c>
      <c r="J41" s="263" t="n">
        <v>0</v>
      </c>
    </row>
    <row r="42" customFormat="false" ht="16.5" hidden="false" customHeight="true" outlineLevel="0" collapsed="false">
      <c r="B42" s="237"/>
      <c r="C42" s="237" t="s">
        <v>317</v>
      </c>
      <c r="D42" s="264" t="n">
        <v>0.036</v>
      </c>
      <c r="E42" s="264" t="n">
        <v>0.036</v>
      </c>
      <c r="F42" s="264" t="n">
        <v>0.036</v>
      </c>
      <c r="G42" s="264" t="n">
        <v>0.036</v>
      </c>
      <c r="H42" s="264" t="n">
        <v>0.036</v>
      </c>
      <c r="I42" s="264" t="n">
        <v>0.036</v>
      </c>
      <c r="J42" s="264" t="n">
        <v>0.036</v>
      </c>
    </row>
    <row r="43" customFormat="false" ht="16.5" hidden="false" customHeight="true" outlineLevel="0" collapsed="false">
      <c r="B43" s="91" t="s">
        <v>318</v>
      </c>
      <c r="C43" s="91"/>
      <c r="D43" s="265" t="n">
        <f aca="false">(((1+D36+D34+D37)*(1+D35)*(1+D38))/(1-(D39+D40+D41+D42))-1)</f>
        <v>0.197524519601078</v>
      </c>
      <c r="E43" s="265" t="n">
        <f aca="false">(((1+E36+E34+E37)*(1+E35)*(1+E38))/(1-(E39+E40+E41+E42))-1)</f>
        <v>0.197524519601078</v>
      </c>
      <c r="F43" s="265" t="n">
        <f aca="false">(((1+F36+F34+F37)*(1+F35)*(1+F38))/(1-(F39+F40+F41+F42))-1)</f>
        <v>0.197524519601078</v>
      </c>
      <c r="G43" s="265" t="n">
        <f aca="false">(((1+G36+G34+G37)*(1+G35)*(1+G38))/(1-(G39+G40+G41+G42))-1)</f>
        <v>0.197524519601078</v>
      </c>
      <c r="H43" s="265" t="n">
        <f aca="false">(((1+H36+H34+H37)*(1+H35)*(1+H38))/(1-(H39+H40+H41+H42))-1)</f>
        <v>0.197524519601078</v>
      </c>
      <c r="I43" s="265" t="n">
        <f aca="false">(((1+I36+I34+I37)*(1+I35)*(1+I38))/(1-(I39+I40+I41+I42))-1)</f>
        <v>0.197524519601078</v>
      </c>
      <c r="J43" s="265" t="n">
        <f aca="false">(((1+J36+J34+J37)*(1+J35)*(1+J38))/(1-(J39+J40+J41+J42))-1)</f>
        <v>0.197524519601078</v>
      </c>
    </row>
    <row r="44" customFormat="false" ht="19.5" hidden="false" customHeight="true" outlineLevel="0" collapsed="false">
      <c r="B44" s="269" t="s">
        <v>319</v>
      </c>
      <c r="C44" s="269"/>
      <c r="D44" s="267" t="n">
        <f aca="false">ROUND(D43,4)</f>
        <v>0.1975</v>
      </c>
      <c r="E44" s="267" t="n">
        <f aca="false">ROUND(E43,4)</f>
        <v>0.1975</v>
      </c>
      <c r="F44" s="267" t="n">
        <f aca="false">ROUND(F43,4)</f>
        <v>0.1975</v>
      </c>
      <c r="G44" s="267" t="n">
        <f aca="false">ROUND(G43,4)</f>
        <v>0.1975</v>
      </c>
      <c r="H44" s="267" t="n">
        <f aca="false">ROUND(H43,4)</f>
        <v>0.1975</v>
      </c>
      <c r="I44" s="267" t="n">
        <f aca="false">ROUND(I43,4)</f>
        <v>0.1975</v>
      </c>
      <c r="J44" s="267" t="n">
        <f aca="false">ROUND(J43,4)</f>
        <v>0.1975</v>
      </c>
    </row>
    <row r="65540" customFormat="false" ht="12.75" hidden="false" customHeight="true" outlineLevel="0" collapsed="false"/>
    <row r="65541" customFormat="false" ht="12.75" hidden="false" customHeight="true" outlineLevel="0" collapsed="false"/>
  </sheetData>
  <mergeCells count="20">
    <mergeCell ref="B2:J2"/>
    <mergeCell ref="B3:J3"/>
    <mergeCell ref="B5:J5"/>
    <mergeCell ref="B7:J7"/>
    <mergeCell ref="B9:J9"/>
    <mergeCell ref="B10:J10"/>
    <mergeCell ref="B11:J11"/>
    <mergeCell ref="B12:J12"/>
    <mergeCell ref="B13:J13"/>
    <mergeCell ref="B14:J14"/>
    <mergeCell ref="B15:J15"/>
    <mergeCell ref="B16:J16"/>
    <mergeCell ref="B18:C19"/>
    <mergeCell ref="B25:B28"/>
    <mergeCell ref="B29:C29"/>
    <mergeCell ref="B30:C30"/>
    <mergeCell ref="B32:C33"/>
    <mergeCell ref="B39:B42"/>
    <mergeCell ref="B43:C43"/>
    <mergeCell ref="B44:C44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A2:AMD36"/>
  <sheetViews>
    <sheetView showFormulas="false" showGridLines="false" showRowColHeaders="true" showZeros="true" rightToLeft="false" tabSelected="false" showOutlineSymbols="true" defaultGridColor="true" view="normal" topLeftCell="A3" colorId="64" zoomScale="100" zoomScaleNormal="100" zoomScalePageLayoutView="100" workbookViewId="0">
      <selection pane="topLeft" activeCell="M11" activeCellId="0" sqref="M11"/>
    </sheetView>
  </sheetViews>
  <sheetFormatPr defaultColWidth="8.625" defaultRowHeight="14.25" zeroHeight="false" outlineLevelRow="0" outlineLevelCol="0"/>
  <cols>
    <col collapsed="false" customWidth="true" hidden="false" outlineLevel="0" max="2" min="2" style="1" width="32.38"/>
    <col collapsed="false" customWidth="true" hidden="false" outlineLevel="0" max="3" min="3" style="18" width="9.12"/>
    <col collapsed="false" customWidth="true" hidden="false" outlineLevel="0" max="4" min="4" style="18" width="12.25"/>
    <col collapsed="false" customWidth="true" hidden="false" outlineLevel="0" max="5" min="5" style="18" width="13.62"/>
    <col collapsed="false" customWidth="true" hidden="false" outlineLevel="0" max="6" min="6" style="18" width="7"/>
    <col collapsed="false" customWidth="true" hidden="false" outlineLevel="0" max="7" min="7" style="18" width="11.88"/>
    <col collapsed="false" customWidth="true" hidden="false" outlineLevel="0" max="8" min="8" style="18" width="13.25"/>
    <col collapsed="false" customWidth="true" hidden="false" outlineLevel="0" max="9" min="9" style="18" width="12.76"/>
    <col collapsed="false" customWidth="true" hidden="false" outlineLevel="0" max="11" min="10" style="18" width="13"/>
    <col collapsed="false" customWidth="true" hidden="false" outlineLevel="0" max="13" min="12" style="18" width="9.25"/>
    <col collapsed="false" customWidth="true" hidden="false" outlineLevel="0" max="248" min="14" style="18" width="10.62"/>
    <col collapsed="false" customWidth="true" hidden="false" outlineLevel="0" max="1018" min="249" style="1" width="10.5"/>
  </cols>
  <sheetData>
    <row r="2" customFormat="false" ht="24.75" hidden="false" customHeight="true" outlineLevel="0" collapsed="false">
      <c r="B2" s="44" t="str">
        <f aca="false">"DIVISÃO DOS CUSTOS POR ALÍQUOTA DE ISSQN - "&amp;'Valor da Contratação'!B7&amp;""</f>
        <v>DIVISÃO DOS CUSTOS POR ALÍQUOTA DE ISSQN - POLO VIII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customFormat="false" ht="16.5" hidden="false" customHeight="true" outlineLevel="0" collapsed="false"/>
    <row r="4" customFormat="false" ht="45.75" hidden="false" customHeight="true" outlineLevel="0" collapsed="false">
      <c r="B4" s="270" t="s">
        <v>41</v>
      </c>
      <c r="C4" s="271" t="s">
        <v>321</v>
      </c>
      <c r="D4" s="271" t="s">
        <v>322</v>
      </c>
      <c r="E4" s="271" t="s">
        <v>323</v>
      </c>
      <c r="F4" s="272"/>
      <c r="G4" s="271" t="s">
        <v>324</v>
      </c>
      <c r="H4" s="271" t="s">
        <v>325</v>
      </c>
      <c r="I4" s="271" t="s">
        <v>326</v>
      </c>
      <c r="J4" s="271" t="s">
        <v>327</v>
      </c>
      <c r="K4" s="271" t="s">
        <v>328</v>
      </c>
      <c r="L4" s="271" t="s">
        <v>329</v>
      </c>
      <c r="M4" s="271" t="s">
        <v>330</v>
      </c>
    </row>
    <row r="5" customFormat="false" ht="15" hidden="false" customHeight="true" outlineLevel="0" collapsed="false">
      <c r="B5" s="119" t="str">
        <f aca="false">'Base Caxias do Sul'!B7</f>
        <v>GEX/APS CAXIAS DO SUL</v>
      </c>
      <c r="C5" s="273" t="n">
        <f aca="false">VLOOKUP(B5,Unidades!$D$5:$G$35,4,)</f>
        <v>0.04</v>
      </c>
      <c r="D5" s="274" t="n">
        <f aca="false">'Base Caxias do Sul'!AD7*12+'Base Caxias do Sul'!AE7*4+'Base Caxias do Sul'!AF7*2+'Base Caxias do Sul'!AG7</f>
        <v>14884.043915541</v>
      </c>
      <c r="E5" s="274" t="n">
        <f aca="false">'Base Caxias do Sul'!AK7*12+'Base Caxias do Sul'!AL7*4+'Base Caxias do Sul'!AM7*2+'Base Caxias do Sul'!AN7</f>
        <v>19340.3266638539</v>
      </c>
      <c r="G5" s="264" t="n">
        <v>0.02</v>
      </c>
      <c r="H5" s="275" t="n">
        <f aca="false">SUMIF(C$5:C$35,G5,D$5:D$35)</f>
        <v>111438.882318741</v>
      </c>
      <c r="I5" s="275" t="n">
        <f aca="false">SUMIF(C$5:C$35,G5,E$5:E$35)</f>
        <v>141605.387762424</v>
      </c>
      <c r="J5" s="275" t="n">
        <f aca="false">H5*4</f>
        <v>445755.529274963</v>
      </c>
      <c r="K5" s="275" t="n">
        <f aca="false">I5*4</f>
        <v>566421.551049696</v>
      </c>
      <c r="L5" s="276" t="n">
        <f aca="false">H5/H$13</f>
        <v>0.377716549932037</v>
      </c>
      <c r="M5" s="276" t="n">
        <f aca="false">I5/I$13</f>
        <v>0.374667879803819</v>
      </c>
    </row>
    <row r="6" customFormat="false" ht="15" hidden="false" customHeight="true" outlineLevel="0" collapsed="false">
      <c r="B6" s="119" t="str">
        <f aca="false">'Base Caxias do Sul'!B8</f>
        <v>CEDOCPREV CAXIAS DO SUL</v>
      </c>
      <c r="C6" s="273" t="n">
        <f aca="false">VLOOKUP(B6,Unidades!$D$5:$G$35,4,)</f>
        <v>0.04</v>
      </c>
      <c r="D6" s="274" t="n">
        <f aca="false">'Base Caxias do Sul'!AD8*12+'Base Caxias do Sul'!AE8*4+'Base Caxias do Sul'!AF8*2+'Base Caxias do Sul'!AG8</f>
        <v>6481.18137827862</v>
      </c>
      <c r="E6" s="274" t="n">
        <f aca="false">'Base Caxias do Sul'!AK8*12+'Base Caxias do Sul'!AL8*4+'Base Caxias do Sul'!AM8*2+'Base Caxias do Sul'!AN8</f>
        <v>8421.64708293524</v>
      </c>
      <c r="G6" s="264" t="n">
        <v>0.025</v>
      </c>
      <c r="H6" s="275" t="n">
        <f aca="false">SUMIF(C$5:C$35,G6,D$5:D$35)</f>
        <v>41573.8897537566</v>
      </c>
      <c r="I6" s="275" t="n">
        <f aca="false">SUMIF(C$5:C$35,G6,E$5:E$35)</f>
        <v>53123.1163273501</v>
      </c>
      <c r="J6" s="275" t="n">
        <f aca="false">H6*4</f>
        <v>166295.559015026</v>
      </c>
      <c r="K6" s="275" t="n">
        <f aca="false">I6*4</f>
        <v>212492.465309401</v>
      </c>
      <c r="L6" s="276" t="n">
        <f aca="false">H6/H$13</f>
        <v>0.140912631913601</v>
      </c>
      <c r="M6" s="276" t="n">
        <f aca="false">I6/I$13</f>
        <v>0.140556271745343</v>
      </c>
    </row>
    <row r="7" customFormat="false" ht="15" hidden="false" customHeight="true" outlineLevel="0" collapsed="false">
      <c r="B7" s="119" t="str">
        <f aca="false">'Base Caxias do Sul'!B9</f>
        <v>ARQUIVO RUA MARQUÊS DO HERVAL</v>
      </c>
      <c r="C7" s="273" t="n">
        <f aca="false">VLOOKUP(B7,Unidades!$D$5:$G$35,4,)</f>
        <v>0.04</v>
      </c>
      <c r="D7" s="274" t="n">
        <f aca="false">'Base Caxias do Sul'!AD9*12+'Base Caxias do Sul'!AE9*4+'Base Caxias do Sul'!AF9*2+'Base Caxias do Sul'!AG9</f>
        <v>6688.18221221195</v>
      </c>
      <c r="E7" s="274" t="n">
        <f aca="false">'Base Caxias do Sul'!AK9*12+'Base Caxias do Sul'!AL9*4+'Base Caxias do Sul'!AM9*2+'Base Caxias do Sul'!AN9</f>
        <v>8690.62396654821</v>
      </c>
      <c r="G7" s="264" t="n">
        <v>0.03</v>
      </c>
      <c r="H7" s="275" t="n">
        <f aca="false">SUMIF(C$5:C$35,G7,D$5:D$35)</f>
        <v>98607.2893496805</v>
      </c>
      <c r="I7" s="275" t="n">
        <f aca="false">SUMIF(C$5:C$35,G7,E$5:E$35)</f>
        <v>126700.506085405</v>
      </c>
      <c r="J7" s="275" t="n">
        <f aca="false">H7*4</f>
        <v>394429.157398722</v>
      </c>
      <c r="K7" s="275" t="n">
        <f aca="false">I7*4</f>
        <v>506802.024341618</v>
      </c>
      <c r="L7" s="276" t="n">
        <f aca="false">H7/H$13</f>
        <v>0.334224503659149</v>
      </c>
      <c r="M7" s="276" t="n">
        <f aca="false">I7/I$13</f>
        <v>0.335231665512137</v>
      </c>
    </row>
    <row r="8" s="18" customFormat="true" ht="15" hidden="false" customHeight="true" outlineLevel="0" collapsed="false">
      <c r="B8" s="119" t="str">
        <f aca="false">'Base Caxias do Sul'!B10</f>
        <v>APS FLORES DA CUNHA</v>
      </c>
      <c r="C8" s="273" t="n">
        <f aca="false">VLOOKUP(B8,Unidades!$D$5:$G$35,4,)</f>
        <v>0.02</v>
      </c>
      <c r="D8" s="274" t="n">
        <f aca="false">'Base Caxias do Sul'!AD10*12+'Base Caxias do Sul'!AE10*4+'Base Caxias do Sul'!AF10*2+'Base Caxias do Sul'!AG10</f>
        <v>6688.18221221195</v>
      </c>
      <c r="E8" s="274" t="n">
        <f aca="false">'Base Caxias do Sul'!AK10*12+'Base Caxias do Sul'!AL10*4+'Base Caxias do Sul'!AM10*2+'Base Caxias do Sul'!AN10</f>
        <v>8498.67313705773</v>
      </c>
      <c r="G8" s="264" t="n">
        <v>0.035</v>
      </c>
      <c r="H8" s="275" t="n">
        <f aca="false">SUMIF(C$5:C$35,G8,D$5:D$35)</f>
        <v>0</v>
      </c>
      <c r="I8" s="275" t="n">
        <f aca="false">SUMIF(C$5:C$35,G8,E$5:E$35)</f>
        <v>0</v>
      </c>
      <c r="J8" s="275" t="n">
        <f aca="false">H8*4</f>
        <v>0</v>
      </c>
      <c r="K8" s="275" t="n">
        <f aca="false">I8*4</f>
        <v>0</v>
      </c>
      <c r="L8" s="276" t="n">
        <f aca="false">H8/H$13</f>
        <v>0</v>
      </c>
      <c r="M8" s="276" t="n">
        <f aca="false">I8/I$13</f>
        <v>0</v>
      </c>
    </row>
    <row r="9" s="18" customFormat="true" ht="15" hidden="false" customHeight="true" outlineLevel="0" collapsed="false">
      <c r="A9" s="31"/>
      <c r="B9" s="119" t="str">
        <f aca="false">'Base Caxias do Sul'!B11</f>
        <v>APS CARLOS BARBOSA</v>
      </c>
      <c r="C9" s="273" t="n">
        <f aca="false">VLOOKUP(B9,Unidades!$D$5:$G$35,4,)</f>
        <v>0.05</v>
      </c>
      <c r="D9" s="274" t="n">
        <f aca="false">'Base Caxias do Sul'!AD11*12+'Base Caxias do Sul'!AE11*4+'Base Caxias do Sul'!AF11*2+'Base Caxias do Sul'!AG11</f>
        <v>7378.03735701195</v>
      </c>
      <c r="E9" s="274" t="n">
        <f aca="false">'Base Caxias do Sul'!AK11*12+'Base Caxias do Sul'!AL11*4+'Base Caxias do Sul'!AM11*2+'Base Caxias do Sul'!AN11</f>
        <v>9696.21669458511</v>
      </c>
      <c r="F9" s="31"/>
      <c r="G9" s="264" t="n">
        <v>0.04</v>
      </c>
      <c r="H9" s="275" t="n">
        <f aca="false">SUMIF(C$5:C$35,G9,D$5:D$35)</f>
        <v>36034.9950547768</v>
      </c>
      <c r="I9" s="275" t="n">
        <f aca="false">SUMIF(C$5:C$35,G9,E$5:E$35)</f>
        <v>46823.872574177</v>
      </c>
      <c r="J9" s="275" t="n">
        <f aca="false">H9*4</f>
        <v>144139.980219107</v>
      </c>
      <c r="K9" s="275" t="n">
        <f aca="false">I9*4</f>
        <v>187295.490296708</v>
      </c>
      <c r="L9" s="276" t="n">
        <f aca="false">H9/H$13</f>
        <v>0.122138823772278</v>
      </c>
      <c r="M9" s="276" t="n">
        <f aca="false">I9/I$13</f>
        <v>0.12388936140625</v>
      </c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  <c r="CV9" s="31"/>
      <c r="CW9" s="31"/>
      <c r="CX9" s="31"/>
      <c r="CY9" s="31"/>
      <c r="CZ9" s="31"/>
      <c r="DA9" s="31"/>
      <c r="DB9" s="31"/>
      <c r="DC9" s="31"/>
      <c r="DD9" s="31"/>
      <c r="DE9" s="31"/>
      <c r="DF9" s="31"/>
      <c r="DG9" s="31"/>
      <c r="DH9" s="31"/>
      <c r="DI9" s="31"/>
      <c r="DJ9" s="31"/>
      <c r="DK9" s="31"/>
      <c r="DL9" s="31"/>
      <c r="DM9" s="31"/>
      <c r="DN9" s="31"/>
      <c r="DO9" s="31"/>
      <c r="DP9" s="31"/>
      <c r="DQ9" s="31"/>
      <c r="DR9" s="31"/>
      <c r="DS9" s="31"/>
      <c r="DT9" s="31"/>
      <c r="DU9" s="31"/>
      <c r="DV9" s="31"/>
      <c r="DW9" s="31"/>
      <c r="DX9" s="31"/>
      <c r="DY9" s="31"/>
      <c r="DZ9" s="31"/>
      <c r="EA9" s="31"/>
      <c r="EB9" s="31"/>
      <c r="EC9" s="31"/>
      <c r="ED9" s="31"/>
      <c r="EE9" s="31"/>
      <c r="EF9" s="31"/>
      <c r="EG9" s="31"/>
      <c r="EH9" s="31"/>
      <c r="EI9" s="31"/>
      <c r="EJ9" s="31"/>
      <c r="EK9" s="31"/>
      <c r="EL9" s="31"/>
      <c r="EM9" s="31"/>
      <c r="EN9" s="31"/>
      <c r="EO9" s="31"/>
      <c r="EP9" s="31"/>
      <c r="EQ9" s="31"/>
      <c r="ER9" s="31"/>
      <c r="ES9" s="31"/>
      <c r="ET9" s="31"/>
      <c r="EU9" s="31"/>
      <c r="EV9" s="31"/>
      <c r="EW9" s="31"/>
      <c r="EX9" s="31"/>
      <c r="EY9" s="31"/>
      <c r="EZ9" s="31"/>
      <c r="FA9" s="31"/>
      <c r="FB9" s="31"/>
      <c r="FC9" s="31"/>
      <c r="FD9" s="31"/>
      <c r="FE9" s="31"/>
      <c r="FF9" s="31"/>
      <c r="FG9" s="31"/>
      <c r="FH9" s="31"/>
      <c r="FI9" s="31"/>
      <c r="FJ9" s="31"/>
      <c r="FK9" s="31"/>
      <c r="FL9" s="31"/>
      <c r="FM9" s="31"/>
      <c r="FN9" s="31"/>
      <c r="FO9" s="31"/>
      <c r="FP9" s="31"/>
      <c r="FQ9" s="31"/>
      <c r="FR9" s="31"/>
      <c r="FS9" s="31"/>
      <c r="FT9" s="31"/>
      <c r="FU9" s="31"/>
      <c r="FV9" s="31"/>
      <c r="FW9" s="31"/>
      <c r="FX9" s="31"/>
      <c r="FY9" s="31"/>
      <c r="FZ9" s="31"/>
      <c r="GA9" s="31"/>
      <c r="GB9" s="31"/>
      <c r="GC9" s="31"/>
      <c r="GD9" s="31"/>
      <c r="GE9" s="31"/>
      <c r="GF9" s="31"/>
      <c r="GG9" s="31"/>
      <c r="GH9" s="31"/>
      <c r="GI9" s="31"/>
      <c r="GJ9" s="31"/>
      <c r="GK9" s="31"/>
      <c r="GL9" s="31"/>
      <c r="GM9" s="31"/>
      <c r="GN9" s="31"/>
      <c r="GO9" s="31"/>
      <c r="GP9" s="31"/>
      <c r="GQ9" s="31"/>
      <c r="GR9" s="31"/>
      <c r="GS9" s="31"/>
      <c r="GT9" s="31"/>
      <c r="GU9" s="31"/>
      <c r="GV9" s="31"/>
      <c r="GW9" s="31"/>
      <c r="GX9" s="31"/>
      <c r="GY9" s="31"/>
      <c r="GZ9" s="31"/>
      <c r="HA9" s="31"/>
      <c r="HB9" s="31"/>
      <c r="HC9" s="31"/>
      <c r="HD9" s="31"/>
      <c r="HE9" s="31"/>
      <c r="HF9" s="31"/>
      <c r="HG9" s="31"/>
      <c r="HH9" s="31"/>
      <c r="HI9" s="31"/>
      <c r="HJ9" s="31"/>
      <c r="HK9" s="31"/>
      <c r="HL9" s="31"/>
      <c r="HM9" s="31"/>
      <c r="HN9" s="31"/>
      <c r="HO9" s="31"/>
      <c r="HP9" s="31"/>
      <c r="HQ9" s="31"/>
      <c r="HR9" s="31"/>
      <c r="HS9" s="31"/>
      <c r="HT9" s="31"/>
      <c r="HU9" s="31"/>
      <c r="HV9" s="31"/>
      <c r="HW9" s="31"/>
      <c r="HX9" s="31"/>
      <c r="HY9" s="31"/>
      <c r="HZ9" s="31"/>
      <c r="IA9" s="31"/>
      <c r="IB9" s="31"/>
      <c r="IC9" s="31"/>
      <c r="ID9" s="31"/>
      <c r="IE9" s="31"/>
      <c r="IF9" s="31"/>
      <c r="IG9" s="31"/>
      <c r="IH9" s="31"/>
      <c r="II9" s="31"/>
      <c r="IJ9" s="31"/>
      <c r="IK9" s="31"/>
      <c r="IL9" s="31"/>
      <c r="IM9" s="31"/>
      <c r="IN9" s="31"/>
      <c r="IO9" s="35"/>
      <c r="IP9" s="31"/>
      <c r="IQ9" s="31"/>
      <c r="IR9" s="31"/>
      <c r="IS9" s="31"/>
      <c r="IT9" s="31"/>
      <c r="IU9" s="31"/>
      <c r="IV9" s="31"/>
      <c r="IW9" s="31"/>
      <c r="IX9" s="31"/>
      <c r="IY9" s="31"/>
      <c r="IZ9" s="31"/>
      <c r="JA9" s="31"/>
      <c r="JB9" s="31"/>
      <c r="JC9" s="31"/>
      <c r="JD9" s="31"/>
      <c r="JE9" s="31"/>
      <c r="JF9" s="31"/>
      <c r="JG9" s="31"/>
      <c r="JH9" s="31"/>
      <c r="JI9" s="31"/>
      <c r="JJ9" s="31"/>
      <c r="JK9" s="31"/>
      <c r="JL9" s="31"/>
      <c r="JM9" s="31"/>
      <c r="JN9" s="31"/>
      <c r="JO9" s="31"/>
      <c r="JP9" s="31"/>
      <c r="JQ9" s="31"/>
      <c r="JR9" s="31"/>
      <c r="JS9" s="31"/>
      <c r="JT9" s="31"/>
      <c r="JU9" s="31"/>
      <c r="JV9" s="31"/>
      <c r="JW9" s="31"/>
      <c r="JX9" s="31"/>
      <c r="JY9" s="31"/>
      <c r="JZ9" s="31"/>
      <c r="KA9" s="31"/>
      <c r="KB9" s="31"/>
      <c r="KC9" s="31"/>
      <c r="KD9" s="31"/>
      <c r="KE9" s="31"/>
      <c r="KF9" s="31"/>
      <c r="KG9" s="31"/>
      <c r="KH9" s="31"/>
      <c r="KI9" s="31"/>
      <c r="KJ9" s="31"/>
      <c r="KK9" s="31"/>
      <c r="KL9" s="31"/>
      <c r="KM9" s="31"/>
      <c r="KN9" s="31"/>
      <c r="KO9" s="31"/>
      <c r="KP9" s="31"/>
      <c r="KQ9" s="31"/>
      <c r="KR9" s="31"/>
      <c r="KS9" s="31"/>
      <c r="KT9" s="31"/>
      <c r="KU9" s="31"/>
      <c r="KV9" s="31"/>
      <c r="KW9" s="31"/>
      <c r="KX9" s="31"/>
      <c r="KY9" s="31"/>
      <c r="KZ9" s="31"/>
      <c r="LA9" s="31"/>
      <c r="LB9" s="31"/>
      <c r="LC9" s="31"/>
      <c r="LD9" s="31"/>
      <c r="LE9" s="31"/>
      <c r="LF9" s="31"/>
      <c r="LG9" s="31"/>
      <c r="LH9" s="31"/>
      <c r="LI9" s="31"/>
      <c r="LJ9" s="31"/>
      <c r="LK9" s="31"/>
      <c r="LL9" s="31"/>
      <c r="LM9" s="31"/>
      <c r="LN9" s="31"/>
      <c r="LO9" s="31"/>
      <c r="LP9" s="31"/>
      <c r="LQ9" s="31"/>
      <c r="LR9" s="31"/>
      <c r="LS9" s="31"/>
      <c r="LT9" s="31"/>
      <c r="LU9" s="31"/>
      <c r="LV9" s="31"/>
      <c r="LW9" s="31"/>
      <c r="LX9" s="31"/>
      <c r="LY9" s="31"/>
      <c r="LZ9" s="31"/>
      <c r="MA9" s="31"/>
      <c r="MB9" s="31"/>
      <c r="MC9" s="31"/>
      <c r="MD9" s="31"/>
      <c r="ME9" s="31"/>
      <c r="MF9" s="31"/>
      <c r="MG9" s="31"/>
      <c r="MH9" s="31"/>
      <c r="MI9" s="31"/>
      <c r="MJ9" s="31"/>
      <c r="MK9" s="31"/>
      <c r="ML9" s="31"/>
      <c r="MM9" s="31"/>
      <c r="MN9" s="31"/>
      <c r="MO9" s="31"/>
      <c r="MP9" s="31"/>
      <c r="MQ9" s="31"/>
      <c r="MR9" s="31"/>
      <c r="MS9" s="31"/>
      <c r="MT9" s="31"/>
      <c r="MU9" s="31"/>
      <c r="MV9" s="31"/>
      <c r="MW9" s="31"/>
      <c r="MX9" s="31"/>
      <c r="MY9" s="31"/>
      <c r="MZ9" s="31"/>
      <c r="NA9" s="31"/>
      <c r="NB9" s="31"/>
      <c r="NC9" s="31"/>
      <c r="ND9" s="31"/>
      <c r="NE9" s="31"/>
      <c r="NF9" s="31"/>
      <c r="NG9" s="31"/>
      <c r="NH9" s="31"/>
      <c r="NI9" s="31"/>
      <c r="NJ9" s="31"/>
      <c r="NK9" s="31"/>
      <c r="NL9" s="31"/>
      <c r="NM9" s="31"/>
      <c r="NN9" s="31"/>
      <c r="NO9" s="31"/>
      <c r="NP9" s="31"/>
      <c r="NQ9" s="31"/>
      <c r="NR9" s="31"/>
      <c r="NS9" s="31"/>
      <c r="NT9" s="31"/>
      <c r="NU9" s="31"/>
      <c r="NV9" s="31"/>
      <c r="NW9" s="31"/>
      <c r="NX9" s="31"/>
      <c r="NY9" s="31"/>
      <c r="NZ9" s="31"/>
      <c r="OA9" s="31"/>
      <c r="OB9" s="31"/>
      <c r="OC9" s="31"/>
      <c r="OD9" s="31"/>
      <c r="OE9" s="31"/>
      <c r="OF9" s="31"/>
      <c r="OG9" s="31"/>
      <c r="OH9" s="31"/>
      <c r="OI9" s="31"/>
      <c r="OJ9" s="31"/>
      <c r="OK9" s="31"/>
      <c r="OL9" s="31"/>
      <c r="OM9" s="31"/>
      <c r="ON9" s="31"/>
      <c r="OO9" s="31"/>
      <c r="OP9" s="31"/>
      <c r="OQ9" s="31"/>
      <c r="OR9" s="31"/>
      <c r="OS9" s="31"/>
      <c r="OT9" s="31"/>
      <c r="OU9" s="31"/>
      <c r="OV9" s="31"/>
      <c r="OW9" s="31"/>
      <c r="OX9" s="31"/>
      <c r="OY9" s="31"/>
      <c r="OZ9" s="31"/>
      <c r="PA9" s="31"/>
      <c r="PB9" s="31"/>
      <c r="PC9" s="31"/>
      <c r="PD9" s="31"/>
      <c r="PE9" s="31"/>
      <c r="PF9" s="31"/>
      <c r="PG9" s="31"/>
      <c r="PH9" s="31"/>
      <c r="PI9" s="31"/>
      <c r="PJ9" s="31"/>
      <c r="PK9" s="31"/>
      <c r="PL9" s="31"/>
      <c r="PM9" s="31"/>
      <c r="PN9" s="31"/>
      <c r="PO9" s="31"/>
      <c r="PP9" s="31"/>
      <c r="PQ9" s="31"/>
      <c r="PR9" s="31"/>
      <c r="PS9" s="31"/>
      <c r="PT9" s="31"/>
      <c r="PU9" s="31"/>
      <c r="PV9" s="31"/>
      <c r="PW9" s="31"/>
      <c r="PX9" s="31"/>
      <c r="PY9" s="31"/>
      <c r="PZ9" s="31"/>
      <c r="QA9" s="31"/>
      <c r="QB9" s="31"/>
      <c r="QC9" s="31"/>
      <c r="QD9" s="31"/>
      <c r="QE9" s="31"/>
      <c r="QF9" s="31"/>
      <c r="QG9" s="31"/>
      <c r="QH9" s="31"/>
      <c r="QI9" s="31"/>
      <c r="QJ9" s="31"/>
      <c r="QK9" s="31"/>
      <c r="QL9" s="31"/>
      <c r="QM9" s="31"/>
      <c r="QN9" s="31"/>
      <c r="QO9" s="31"/>
      <c r="QP9" s="31"/>
      <c r="QQ9" s="31"/>
      <c r="QR9" s="31"/>
      <c r="QS9" s="31"/>
      <c r="QT9" s="31"/>
      <c r="QU9" s="31"/>
      <c r="QV9" s="31"/>
      <c r="QW9" s="31"/>
      <c r="QX9" s="31"/>
      <c r="QY9" s="31"/>
      <c r="QZ9" s="31"/>
      <c r="RA9" s="31"/>
      <c r="RB9" s="31"/>
      <c r="RC9" s="31"/>
      <c r="RD9" s="31"/>
      <c r="RE9" s="31"/>
      <c r="RF9" s="31"/>
      <c r="RG9" s="31"/>
      <c r="RH9" s="31"/>
      <c r="RI9" s="31"/>
      <c r="RJ9" s="31"/>
      <c r="RK9" s="31"/>
      <c r="RL9" s="31"/>
      <c r="RM9" s="31"/>
      <c r="RN9" s="31"/>
      <c r="RO9" s="31"/>
      <c r="RP9" s="31"/>
      <c r="RQ9" s="31"/>
      <c r="RR9" s="31"/>
      <c r="RS9" s="31"/>
      <c r="RT9" s="31"/>
      <c r="RU9" s="31"/>
      <c r="RV9" s="31"/>
      <c r="RW9" s="31"/>
      <c r="RX9" s="31"/>
      <c r="RY9" s="31"/>
      <c r="RZ9" s="31"/>
      <c r="SA9" s="31"/>
      <c r="SB9" s="31"/>
      <c r="SC9" s="31"/>
      <c r="SD9" s="31"/>
      <c r="SE9" s="31"/>
      <c r="SF9" s="31"/>
      <c r="SG9" s="31"/>
      <c r="SH9" s="31"/>
      <c r="SI9" s="31"/>
      <c r="SJ9" s="31"/>
      <c r="SK9" s="31"/>
      <c r="SL9" s="31"/>
      <c r="SM9" s="31"/>
      <c r="SN9" s="31"/>
      <c r="SO9" s="31"/>
      <c r="SP9" s="31"/>
      <c r="SQ9" s="31"/>
      <c r="SR9" s="31"/>
      <c r="SS9" s="31"/>
      <c r="ST9" s="31"/>
      <c r="SU9" s="31"/>
      <c r="SV9" s="31"/>
      <c r="SW9" s="31"/>
      <c r="SX9" s="31"/>
      <c r="SY9" s="31"/>
      <c r="SZ9" s="31"/>
      <c r="TA9" s="31"/>
      <c r="TB9" s="31"/>
      <c r="TC9" s="31"/>
      <c r="TD9" s="31"/>
      <c r="TE9" s="31"/>
      <c r="TF9" s="31"/>
      <c r="TG9" s="31"/>
      <c r="TH9" s="31"/>
      <c r="TI9" s="31"/>
      <c r="TJ9" s="31"/>
      <c r="TK9" s="31"/>
      <c r="TL9" s="31"/>
      <c r="TM9" s="31"/>
      <c r="TN9" s="31"/>
      <c r="TO9" s="31"/>
      <c r="TP9" s="31"/>
      <c r="TQ9" s="31"/>
      <c r="TR9" s="31"/>
      <c r="TS9" s="31"/>
      <c r="TT9" s="31"/>
      <c r="TU9" s="31"/>
      <c r="TV9" s="31"/>
      <c r="TW9" s="31"/>
      <c r="TX9" s="31"/>
      <c r="TY9" s="31"/>
      <c r="TZ9" s="31"/>
      <c r="UA9" s="31"/>
      <c r="UB9" s="31"/>
      <c r="UC9" s="31"/>
      <c r="UD9" s="31"/>
      <c r="UE9" s="31"/>
      <c r="UF9" s="31"/>
      <c r="UG9" s="31"/>
      <c r="UH9" s="31"/>
      <c r="UI9" s="31"/>
      <c r="UJ9" s="31"/>
      <c r="UK9" s="31"/>
      <c r="UL9" s="31"/>
      <c r="UM9" s="31"/>
      <c r="UN9" s="31"/>
      <c r="UO9" s="31"/>
      <c r="UP9" s="31"/>
      <c r="UQ9" s="31"/>
      <c r="UR9" s="31"/>
      <c r="US9" s="31"/>
      <c r="UT9" s="31"/>
      <c r="UU9" s="31"/>
      <c r="UV9" s="31"/>
      <c r="UW9" s="31"/>
      <c r="UX9" s="31"/>
      <c r="UY9" s="31"/>
      <c r="UZ9" s="31"/>
      <c r="VA9" s="31"/>
      <c r="VB9" s="31"/>
      <c r="VC9" s="31"/>
      <c r="VD9" s="31"/>
      <c r="VE9" s="31"/>
      <c r="VF9" s="31"/>
      <c r="VG9" s="31"/>
      <c r="VH9" s="31"/>
      <c r="VI9" s="31"/>
      <c r="VJ9" s="31"/>
      <c r="VK9" s="31"/>
      <c r="VL9" s="31"/>
      <c r="VM9" s="31"/>
      <c r="VN9" s="31"/>
      <c r="VO9" s="31"/>
      <c r="VP9" s="31"/>
      <c r="VQ9" s="31"/>
      <c r="VR9" s="31"/>
      <c r="VS9" s="31"/>
      <c r="VT9" s="31"/>
      <c r="VU9" s="31"/>
      <c r="VV9" s="31"/>
      <c r="VW9" s="31"/>
      <c r="VX9" s="31"/>
      <c r="VY9" s="31"/>
      <c r="VZ9" s="31"/>
      <c r="WA9" s="31"/>
      <c r="WB9" s="31"/>
      <c r="WC9" s="31"/>
      <c r="WD9" s="31"/>
      <c r="WE9" s="31"/>
      <c r="WF9" s="31"/>
      <c r="WG9" s="31"/>
      <c r="WH9" s="31"/>
      <c r="WI9" s="31"/>
      <c r="WJ9" s="31"/>
      <c r="WK9" s="31"/>
      <c r="WL9" s="31"/>
      <c r="WM9" s="31"/>
      <c r="WN9" s="31"/>
      <c r="WO9" s="31"/>
      <c r="WP9" s="31"/>
      <c r="WQ9" s="31"/>
      <c r="WR9" s="31"/>
      <c r="WS9" s="31"/>
      <c r="WT9" s="31"/>
      <c r="WU9" s="31"/>
      <c r="WV9" s="31"/>
      <c r="WW9" s="31"/>
      <c r="WX9" s="31"/>
      <c r="WY9" s="31"/>
      <c r="WZ9" s="31"/>
      <c r="XA9" s="31"/>
      <c r="XB9" s="31"/>
      <c r="XC9" s="31"/>
      <c r="XD9" s="31"/>
      <c r="XE9" s="31"/>
      <c r="XF9" s="31"/>
      <c r="XG9" s="31"/>
      <c r="XH9" s="31"/>
      <c r="XI9" s="31"/>
      <c r="XJ9" s="31"/>
      <c r="XK9" s="31"/>
      <c r="XL9" s="31"/>
      <c r="XM9" s="31"/>
      <c r="XN9" s="31"/>
      <c r="XO9" s="31"/>
      <c r="XP9" s="31"/>
      <c r="XQ9" s="31"/>
      <c r="XR9" s="31"/>
      <c r="XS9" s="31"/>
      <c r="XT9" s="31"/>
      <c r="XU9" s="31"/>
      <c r="XV9" s="31"/>
      <c r="XW9" s="31"/>
      <c r="XX9" s="31"/>
      <c r="XY9" s="31"/>
      <c r="XZ9" s="31"/>
      <c r="YA9" s="31"/>
      <c r="YB9" s="31"/>
      <c r="YC9" s="31"/>
      <c r="YD9" s="31"/>
      <c r="YE9" s="31"/>
      <c r="YF9" s="31"/>
      <c r="YG9" s="31"/>
      <c r="YH9" s="31"/>
      <c r="YI9" s="31"/>
      <c r="YJ9" s="31"/>
      <c r="YK9" s="31"/>
      <c r="YL9" s="31"/>
      <c r="YM9" s="31"/>
      <c r="YN9" s="31"/>
      <c r="YO9" s="31"/>
      <c r="YP9" s="31"/>
      <c r="YQ9" s="31"/>
      <c r="YR9" s="31"/>
      <c r="YS9" s="31"/>
      <c r="YT9" s="31"/>
      <c r="YU9" s="31"/>
      <c r="YV9" s="31"/>
      <c r="YW9" s="31"/>
      <c r="YX9" s="31"/>
      <c r="YY9" s="31"/>
      <c r="YZ9" s="31"/>
      <c r="ZA9" s="31"/>
      <c r="ZB9" s="31"/>
      <c r="ZC9" s="31"/>
      <c r="ZD9" s="31"/>
      <c r="ZE9" s="31"/>
      <c r="ZF9" s="31"/>
      <c r="ZG9" s="31"/>
      <c r="ZH9" s="31"/>
      <c r="ZI9" s="31"/>
      <c r="ZJ9" s="31"/>
      <c r="ZK9" s="31"/>
      <c r="ZL9" s="31"/>
      <c r="ZM9" s="31"/>
      <c r="ZN9" s="31"/>
      <c r="ZO9" s="31"/>
      <c r="ZP9" s="31"/>
      <c r="ZQ9" s="31"/>
      <c r="ZR9" s="31"/>
      <c r="ZS9" s="31"/>
      <c r="ZT9" s="31"/>
      <c r="ZU9" s="31"/>
      <c r="ZV9" s="31"/>
      <c r="ZW9" s="31"/>
      <c r="ZX9" s="31"/>
      <c r="ZY9" s="31"/>
      <c r="ZZ9" s="31"/>
      <c r="AAA9" s="31"/>
      <c r="AAB9" s="31"/>
      <c r="AAC9" s="31"/>
      <c r="AAD9" s="31"/>
      <c r="AAE9" s="31"/>
      <c r="AAF9" s="31"/>
      <c r="AAG9" s="31"/>
      <c r="AAH9" s="31"/>
      <c r="AAI9" s="31"/>
      <c r="AAJ9" s="31"/>
      <c r="AAK9" s="31"/>
      <c r="AAL9" s="31"/>
      <c r="AAM9" s="31"/>
      <c r="AAN9" s="31"/>
      <c r="AAO9" s="31"/>
      <c r="AAP9" s="31"/>
      <c r="AAQ9" s="31"/>
      <c r="AAR9" s="31"/>
      <c r="AAS9" s="31"/>
      <c r="AAT9" s="31"/>
      <c r="AAU9" s="31"/>
      <c r="AAV9" s="31"/>
      <c r="AAW9" s="31"/>
      <c r="AAX9" s="31"/>
      <c r="AAY9" s="31"/>
      <c r="AAZ9" s="31"/>
      <c r="ABA9" s="31"/>
      <c r="ABB9" s="31"/>
      <c r="ABC9" s="31"/>
      <c r="ABD9" s="31"/>
      <c r="ABE9" s="31"/>
      <c r="ABF9" s="31"/>
      <c r="ABG9" s="31"/>
      <c r="ABH9" s="31"/>
      <c r="ABI9" s="31"/>
      <c r="ABJ9" s="31"/>
      <c r="ABK9" s="31"/>
      <c r="ABL9" s="31"/>
      <c r="ABM9" s="31"/>
      <c r="ABN9" s="31"/>
      <c r="ABO9" s="31"/>
      <c r="ABP9" s="31"/>
      <c r="ABQ9" s="31"/>
      <c r="ABR9" s="31"/>
      <c r="ABS9" s="31"/>
      <c r="ABT9" s="31"/>
      <c r="ABU9" s="31"/>
      <c r="ABV9" s="31"/>
      <c r="ABW9" s="31"/>
      <c r="ABX9" s="31"/>
      <c r="ABY9" s="31"/>
      <c r="ABZ9" s="31"/>
      <c r="ACA9" s="31"/>
      <c r="ACB9" s="31"/>
      <c r="ACC9" s="31"/>
      <c r="ACD9" s="31"/>
      <c r="ACE9" s="31"/>
      <c r="ACF9" s="31"/>
      <c r="ACG9" s="31"/>
      <c r="ACH9" s="31"/>
      <c r="ACI9" s="31"/>
      <c r="ACJ9" s="31"/>
      <c r="ACK9" s="31"/>
      <c r="ACL9" s="31"/>
      <c r="ACM9" s="31"/>
      <c r="ACN9" s="31"/>
      <c r="ACO9" s="31"/>
      <c r="ACP9" s="31"/>
      <c r="ACQ9" s="31"/>
      <c r="ACR9" s="31"/>
      <c r="ACS9" s="31"/>
      <c r="ACT9" s="31"/>
      <c r="ACU9" s="31"/>
      <c r="ACV9" s="31"/>
      <c r="ACW9" s="31"/>
      <c r="ACX9" s="31"/>
      <c r="ACY9" s="31"/>
      <c r="ACZ9" s="31"/>
      <c r="ADA9" s="31"/>
      <c r="ADB9" s="31"/>
      <c r="ADC9" s="31"/>
      <c r="ADD9" s="31"/>
      <c r="ADE9" s="31"/>
      <c r="ADF9" s="31"/>
      <c r="ADG9" s="31"/>
      <c r="ADH9" s="31"/>
      <c r="ADI9" s="31"/>
      <c r="ADJ9" s="31"/>
      <c r="ADK9" s="31"/>
      <c r="ADL9" s="31"/>
      <c r="ADM9" s="31"/>
      <c r="ADN9" s="31"/>
      <c r="ADO9" s="31"/>
      <c r="ADP9" s="31"/>
      <c r="ADQ9" s="31"/>
      <c r="ADR9" s="31"/>
      <c r="ADS9" s="31"/>
      <c r="ADT9" s="31"/>
      <c r="ADU9" s="31"/>
      <c r="ADV9" s="31"/>
      <c r="ADW9" s="31"/>
      <c r="ADX9" s="31"/>
      <c r="ADY9" s="31"/>
      <c r="ADZ9" s="31"/>
      <c r="AEA9" s="31"/>
      <c r="AEB9" s="31"/>
      <c r="AEC9" s="31"/>
      <c r="AED9" s="31"/>
      <c r="AEE9" s="31"/>
      <c r="AEF9" s="31"/>
      <c r="AEG9" s="31"/>
      <c r="AEH9" s="31"/>
      <c r="AEI9" s="31"/>
      <c r="AEJ9" s="31"/>
      <c r="AEK9" s="31"/>
      <c r="AEL9" s="31"/>
      <c r="AEM9" s="31"/>
      <c r="AEN9" s="31"/>
      <c r="AEO9" s="31"/>
      <c r="AEP9" s="31"/>
      <c r="AEQ9" s="31"/>
      <c r="AER9" s="31"/>
      <c r="AES9" s="31"/>
      <c r="AET9" s="31"/>
      <c r="AEU9" s="31"/>
      <c r="AEV9" s="31"/>
      <c r="AEW9" s="31"/>
      <c r="AEX9" s="31"/>
      <c r="AEY9" s="31"/>
      <c r="AEZ9" s="31"/>
      <c r="AFA9" s="31"/>
      <c r="AFB9" s="31"/>
      <c r="AFC9" s="31"/>
      <c r="AFD9" s="31"/>
      <c r="AFE9" s="31"/>
      <c r="AFF9" s="31"/>
      <c r="AFG9" s="31"/>
      <c r="AFH9" s="31"/>
      <c r="AFI9" s="31"/>
      <c r="AFJ9" s="31"/>
      <c r="AFK9" s="31"/>
      <c r="AFL9" s="31"/>
      <c r="AFM9" s="31"/>
      <c r="AFN9" s="31"/>
      <c r="AFO9" s="31"/>
      <c r="AFP9" s="31"/>
      <c r="AFQ9" s="31"/>
      <c r="AFR9" s="31"/>
      <c r="AFS9" s="31"/>
      <c r="AFT9" s="31"/>
      <c r="AFU9" s="31"/>
      <c r="AFV9" s="31"/>
      <c r="AFW9" s="31"/>
      <c r="AFX9" s="31"/>
      <c r="AFY9" s="31"/>
      <c r="AFZ9" s="31"/>
      <c r="AGA9" s="31"/>
      <c r="AGB9" s="31"/>
      <c r="AGC9" s="31"/>
      <c r="AGD9" s="31"/>
      <c r="AGE9" s="31"/>
      <c r="AGF9" s="31"/>
      <c r="AGG9" s="31"/>
      <c r="AGH9" s="31"/>
      <c r="AGI9" s="31"/>
      <c r="AGJ9" s="31"/>
      <c r="AGK9" s="31"/>
      <c r="AGL9" s="31"/>
      <c r="AGM9" s="31"/>
      <c r="AGN9" s="31"/>
      <c r="AGO9" s="31"/>
      <c r="AGP9" s="31"/>
      <c r="AGQ9" s="31"/>
      <c r="AGR9" s="31"/>
      <c r="AGS9" s="31"/>
      <c r="AGT9" s="31"/>
      <c r="AGU9" s="31"/>
      <c r="AGV9" s="31"/>
      <c r="AGW9" s="31"/>
      <c r="AGX9" s="31"/>
      <c r="AGY9" s="31"/>
      <c r="AGZ9" s="31"/>
      <c r="AHA9" s="31"/>
      <c r="AHB9" s="31"/>
      <c r="AHC9" s="31"/>
      <c r="AHD9" s="31"/>
      <c r="AHE9" s="31"/>
      <c r="AHF9" s="31"/>
      <c r="AHG9" s="31"/>
      <c r="AHH9" s="31"/>
      <c r="AHI9" s="31"/>
      <c r="AHJ9" s="31"/>
      <c r="AHK9" s="31"/>
      <c r="AHL9" s="31"/>
      <c r="AHM9" s="31"/>
      <c r="AHN9" s="31"/>
      <c r="AHO9" s="31"/>
      <c r="AHP9" s="31"/>
      <c r="AHQ9" s="31"/>
      <c r="AHR9" s="31"/>
      <c r="AHS9" s="31"/>
      <c r="AHT9" s="31"/>
      <c r="AHU9" s="31"/>
      <c r="AHV9" s="31"/>
      <c r="AHW9" s="31"/>
      <c r="AHX9" s="31"/>
      <c r="AHY9" s="31"/>
      <c r="AHZ9" s="31"/>
      <c r="AIA9" s="31"/>
      <c r="AIB9" s="31"/>
      <c r="AIC9" s="31"/>
      <c r="AID9" s="31"/>
      <c r="AIE9" s="31"/>
      <c r="AIF9" s="31"/>
      <c r="AIG9" s="31"/>
      <c r="AIH9" s="31"/>
      <c r="AII9" s="31"/>
      <c r="AIJ9" s="31"/>
      <c r="AIK9" s="31"/>
      <c r="AIL9" s="31"/>
      <c r="AIM9" s="31"/>
      <c r="AIN9" s="31"/>
      <c r="AIO9" s="31"/>
      <c r="AIP9" s="31"/>
      <c r="AIQ9" s="31"/>
      <c r="AIR9" s="31"/>
      <c r="AIS9" s="31"/>
      <c r="AIT9" s="31"/>
      <c r="AIU9" s="31"/>
      <c r="AIV9" s="31"/>
      <c r="AIW9" s="31"/>
      <c r="AIX9" s="31"/>
      <c r="AIY9" s="31"/>
      <c r="AIZ9" s="31"/>
      <c r="AJA9" s="31"/>
      <c r="AJB9" s="31"/>
      <c r="AJC9" s="31"/>
      <c r="AJD9" s="31"/>
      <c r="AJE9" s="31"/>
      <c r="AJF9" s="31"/>
      <c r="AJG9" s="31"/>
      <c r="AJH9" s="31"/>
      <c r="AJI9" s="31"/>
      <c r="AJJ9" s="31"/>
      <c r="AJK9" s="31"/>
      <c r="AJL9" s="31"/>
      <c r="AJM9" s="31"/>
      <c r="AJN9" s="31"/>
      <c r="AJO9" s="31"/>
      <c r="AJP9" s="31"/>
      <c r="AJQ9" s="31"/>
      <c r="AJR9" s="31"/>
      <c r="AJS9" s="31"/>
      <c r="AJT9" s="31"/>
      <c r="AJU9" s="31"/>
      <c r="AJV9" s="31"/>
      <c r="AJW9" s="31"/>
      <c r="AJX9" s="31"/>
      <c r="AJY9" s="31"/>
      <c r="AJZ9" s="31"/>
      <c r="AKA9" s="31"/>
      <c r="AKB9" s="31"/>
      <c r="AKC9" s="31"/>
      <c r="AKD9" s="31"/>
      <c r="AKE9" s="31"/>
      <c r="AKF9" s="31"/>
      <c r="AKG9" s="31"/>
      <c r="AKH9" s="31"/>
      <c r="AKI9" s="31"/>
      <c r="AKJ9" s="31"/>
      <c r="AKK9" s="31"/>
      <c r="AKL9" s="31"/>
      <c r="AKM9" s="31"/>
      <c r="AKN9" s="31"/>
      <c r="AKO9" s="31"/>
      <c r="AKP9" s="31"/>
      <c r="AKQ9" s="31"/>
      <c r="AKR9" s="31"/>
      <c r="AKS9" s="31"/>
      <c r="AKT9" s="31"/>
      <c r="AKU9" s="31"/>
      <c r="AKV9" s="31"/>
      <c r="AKW9" s="31"/>
      <c r="AKX9" s="31"/>
      <c r="AKY9" s="31"/>
      <c r="AKZ9" s="31"/>
      <c r="ALA9" s="31"/>
      <c r="ALB9" s="31"/>
      <c r="ALC9" s="31"/>
      <c r="ALD9" s="31"/>
      <c r="ALE9" s="31"/>
      <c r="ALF9" s="31"/>
      <c r="ALG9" s="31"/>
      <c r="ALH9" s="31"/>
      <c r="ALI9" s="31"/>
      <c r="ALJ9" s="31"/>
      <c r="ALK9" s="31"/>
      <c r="ALL9" s="31"/>
      <c r="ALM9" s="31"/>
      <c r="ALN9" s="31"/>
      <c r="ALO9" s="31"/>
      <c r="ALP9" s="31"/>
      <c r="ALQ9" s="31"/>
      <c r="ALR9" s="31"/>
      <c r="ALS9" s="31"/>
      <c r="ALT9" s="31"/>
      <c r="ALU9" s="31"/>
      <c r="ALV9" s="31"/>
      <c r="ALW9" s="31"/>
      <c r="ALX9" s="31"/>
      <c r="ALY9" s="31"/>
      <c r="ALZ9" s="31"/>
      <c r="AMA9" s="31"/>
      <c r="AMB9" s="31"/>
      <c r="AMC9" s="31"/>
      <c r="AMD9" s="31"/>
    </row>
    <row r="10" s="18" customFormat="true" ht="15" hidden="false" customHeight="true" outlineLevel="0" collapsed="false">
      <c r="A10" s="31"/>
      <c r="B10" s="119" t="str">
        <f aca="false">'Base Caxias do Sul'!B12</f>
        <v>APS GARIBALDI</v>
      </c>
      <c r="C10" s="273" t="n">
        <f aca="false">VLOOKUP(B10,Unidades!$D$5:$G$35,4,)</f>
        <v>0.03</v>
      </c>
      <c r="D10" s="274" t="n">
        <f aca="false">'Base Caxias do Sul'!AD12*12+'Base Caxias do Sul'!AE12*4+'Base Caxias do Sul'!AF12*2+'Base Caxias do Sul'!AG12</f>
        <v>7378.03735701195</v>
      </c>
      <c r="E10" s="274" t="n">
        <f aca="false">'Base Caxias do Sul'!AK12*12+'Base Caxias do Sul'!AL12*4+'Base Caxias do Sul'!AM12*2+'Base Caxias do Sul'!AN12</f>
        <v>9480.04020002466</v>
      </c>
      <c r="F10" s="31"/>
      <c r="G10" s="264" t="n">
        <v>0.045</v>
      </c>
      <c r="H10" s="275" t="n">
        <f aca="false">SUMIF(C$5:C$35,G10,D$5:D$35)</f>
        <v>0</v>
      </c>
      <c r="I10" s="275" t="n">
        <f aca="false">SUMIF(C$5:C$35,G10,E$5:E$35)</f>
        <v>0</v>
      </c>
      <c r="J10" s="275" t="n">
        <f aca="false">H10*4</f>
        <v>0</v>
      </c>
      <c r="K10" s="275" t="n">
        <f aca="false">I10*4</f>
        <v>0</v>
      </c>
      <c r="L10" s="276" t="n">
        <f aca="false">H10/H$13</f>
        <v>0</v>
      </c>
      <c r="M10" s="276" t="n">
        <f aca="false">I10/I$13</f>
        <v>0</v>
      </c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  <c r="CV10" s="31"/>
      <c r="CW10" s="31"/>
      <c r="CX10" s="31"/>
      <c r="CY10" s="31"/>
      <c r="CZ10" s="31"/>
      <c r="DA10" s="31"/>
      <c r="DB10" s="31"/>
      <c r="DC10" s="31"/>
      <c r="DD10" s="31"/>
      <c r="DE10" s="31"/>
      <c r="DF10" s="31"/>
      <c r="DG10" s="31"/>
      <c r="DH10" s="31"/>
      <c r="DI10" s="31"/>
      <c r="DJ10" s="31"/>
      <c r="DK10" s="31"/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31"/>
      <c r="EF10" s="31"/>
      <c r="EG10" s="31"/>
      <c r="EH10" s="31"/>
      <c r="EI10" s="31"/>
      <c r="EJ10" s="31"/>
      <c r="EK10" s="31"/>
      <c r="EL10" s="31"/>
      <c r="EM10" s="31"/>
      <c r="EN10" s="31"/>
      <c r="EO10" s="31"/>
      <c r="EP10" s="31"/>
      <c r="EQ10" s="31"/>
      <c r="ER10" s="31"/>
      <c r="ES10" s="31"/>
      <c r="ET10" s="31"/>
      <c r="EU10" s="31"/>
      <c r="EV10" s="31"/>
      <c r="EW10" s="31"/>
      <c r="EX10" s="31"/>
      <c r="EY10" s="31"/>
      <c r="EZ10" s="31"/>
      <c r="FA10" s="31"/>
      <c r="FB10" s="31"/>
      <c r="FC10" s="31"/>
      <c r="FD10" s="31"/>
      <c r="FE10" s="31"/>
      <c r="FF10" s="31"/>
      <c r="FG10" s="31"/>
      <c r="FH10" s="31"/>
      <c r="FI10" s="31"/>
      <c r="FJ10" s="31"/>
      <c r="FK10" s="31"/>
      <c r="FL10" s="31"/>
      <c r="FM10" s="31"/>
      <c r="FN10" s="31"/>
      <c r="FO10" s="31"/>
      <c r="FP10" s="31"/>
      <c r="FQ10" s="31"/>
      <c r="FR10" s="31"/>
      <c r="FS10" s="31"/>
      <c r="FT10" s="31"/>
      <c r="FU10" s="31"/>
      <c r="FV10" s="31"/>
      <c r="FW10" s="31"/>
      <c r="FX10" s="31"/>
      <c r="FY10" s="31"/>
      <c r="FZ10" s="31"/>
      <c r="GA10" s="31"/>
      <c r="GB10" s="31"/>
      <c r="GC10" s="31"/>
      <c r="GD10" s="31"/>
      <c r="GE10" s="31"/>
      <c r="GF10" s="31"/>
      <c r="GG10" s="31"/>
      <c r="GH10" s="31"/>
      <c r="GI10" s="31"/>
      <c r="GJ10" s="31"/>
      <c r="GK10" s="31"/>
      <c r="GL10" s="31"/>
      <c r="GM10" s="31"/>
      <c r="GN10" s="31"/>
      <c r="GO10" s="31"/>
      <c r="GP10" s="31"/>
      <c r="GQ10" s="31"/>
      <c r="GR10" s="31"/>
      <c r="GS10" s="31"/>
      <c r="GT10" s="31"/>
      <c r="GU10" s="31"/>
      <c r="GV10" s="31"/>
      <c r="GW10" s="31"/>
      <c r="GX10" s="31"/>
      <c r="GY10" s="31"/>
      <c r="GZ10" s="31"/>
      <c r="HA10" s="31"/>
      <c r="HB10" s="31"/>
      <c r="HC10" s="31"/>
      <c r="HD10" s="31"/>
      <c r="HE10" s="31"/>
      <c r="HF10" s="31"/>
      <c r="HG10" s="31"/>
      <c r="HH10" s="31"/>
      <c r="HI10" s="31"/>
      <c r="HJ10" s="31"/>
      <c r="HK10" s="31"/>
      <c r="HL10" s="31"/>
      <c r="HM10" s="31"/>
      <c r="HN10" s="31"/>
      <c r="HO10" s="31"/>
      <c r="HP10" s="31"/>
      <c r="HQ10" s="31"/>
      <c r="HR10" s="31"/>
      <c r="HS10" s="31"/>
      <c r="HT10" s="31"/>
      <c r="HU10" s="31"/>
      <c r="HV10" s="31"/>
      <c r="HW10" s="31"/>
      <c r="HX10" s="31"/>
      <c r="HY10" s="31"/>
      <c r="HZ10" s="31"/>
      <c r="IA10" s="31"/>
      <c r="IB10" s="31"/>
      <c r="IC10" s="31"/>
      <c r="ID10" s="31"/>
      <c r="IE10" s="31"/>
      <c r="IF10" s="31"/>
      <c r="IG10" s="31"/>
      <c r="IH10" s="31"/>
      <c r="II10" s="31"/>
      <c r="IJ10" s="31"/>
      <c r="IK10" s="31"/>
      <c r="IL10" s="31"/>
      <c r="IM10" s="31"/>
      <c r="IN10" s="31"/>
      <c r="IO10" s="35"/>
      <c r="IP10" s="31"/>
      <c r="IQ10" s="31"/>
      <c r="IR10" s="31"/>
      <c r="IS10" s="31"/>
      <c r="IT10" s="31"/>
      <c r="IU10" s="31"/>
      <c r="IV10" s="31"/>
      <c r="IW10" s="31"/>
      <c r="IX10" s="31"/>
      <c r="IY10" s="31"/>
      <c r="IZ10" s="31"/>
      <c r="JA10" s="31"/>
      <c r="JB10" s="31"/>
      <c r="JC10" s="31"/>
      <c r="JD10" s="31"/>
      <c r="JE10" s="31"/>
      <c r="JF10" s="31"/>
      <c r="JG10" s="31"/>
      <c r="JH10" s="31"/>
      <c r="JI10" s="31"/>
      <c r="JJ10" s="31"/>
      <c r="JK10" s="31"/>
      <c r="JL10" s="31"/>
      <c r="JM10" s="31"/>
      <c r="JN10" s="31"/>
      <c r="JO10" s="31"/>
      <c r="JP10" s="31"/>
      <c r="JQ10" s="31"/>
      <c r="JR10" s="31"/>
      <c r="JS10" s="31"/>
      <c r="JT10" s="31"/>
      <c r="JU10" s="31"/>
      <c r="JV10" s="31"/>
      <c r="JW10" s="31"/>
      <c r="JX10" s="31"/>
      <c r="JY10" s="31"/>
      <c r="JZ10" s="31"/>
      <c r="KA10" s="31"/>
      <c r="KB10" s="31"/>
      <c r="KC10" s="31"/>
      <c r="KD10" s="31"/>
      <c r="KE10" s="31"/>
      <c r="KF10" s="31"/>
      <c r="KG10" s="31"/>
      <c r="KH10" s="31"/>
      <c r="KI10" s="31"/>
      <c r="KJ10" s="31"/>
      <c r="KK10" s="31"/>
      <c r="KL10" s="31"/>
      <c r="KM10" s="31"/>
      <c r="KN10" s="31"/>
      <c r="KO10" s="31"/>
      <c r="KP10" s="31"/>
      <c r="KQ10" s="31"/>
      <c r="KR10" s="31"/>
      <c r="KS10" s="31"/>
      <c r="KT10" s="31"/>
      <c r="KU10" s="31"/>
      <c r="KV10" s="31"/>
      <c r="KW10" s="31"/>
      <c r="KX10" s="31"/>
      <c r="KY10" s="31"/>
      <c r="KZ10" s="31"/>
      <c r="LA10" s="31"/>
      <c r="LB10" s="31"/>
      <c r="LC10" s="31"/>
      <c r="LD10" s="31"/>
      <c r="LE10" s="31"/>
      <c r="LF10" s="31"/>
      <c r="LG10" s="31"/>
      <c r="LH10" s="31"/>
      <c r="LI10" s="31"/>
      <c r="LJ10" s="31"/>
      <c r="LK10" s="31"/>
      <c r="LL10" s="31"/>
      <c r="LM10" s="31"/>
      <c r="LN10" s="31"/>
      <c r="LO10" s="31"/>
      <c r="LP10" s="31"/>
      <c r="LQ10" s="31"/>
      <c r="LR10" s="31"/>
      <c r="LS10" s="31"/>
      <c r="LT10" s="31"/>
      <c r="LU10" s="31"/>
      <c r="LV10" s="31"/>
      <c r="LW10" s="31"/>
      <c r="LX10" s="31"/>
      <c r="LY10" s="31"/>
      <c r="LZ10" s="31"/>
      <c r="MA10" s="31"/>
      <c r="MB10" s="31"/>
      <c r="MC10" s="31"/>
      <c r="MD10" s="31"/>
      <c r="ME10" s="31"/>
      <c r="MF10" s="31"/>
      <c r="MG10" s="31"/>
      <c r="MH10" s="31"/>
      <c r="MI10" s="31"/>
      <c r="MJ10" s="31"/>
      <c r="MK10" s="31"/>
      <c r="ML10" s="31"/>
      <c r="MM10" s="31"/>
      <c r="MN10" s="31"/>
      <c r="MO10" s="31"/>
      <c r="MP10" s="31"/>
      <c r="MQ10" s="31"/>
      <c r="MR10" s="31"/>
      <c r="MS10" s="31"/>
      <c r="MT10" s="31"/>
      <c r="MU10" s="31"/>
      <c r="MV10" s="31"/>
      <c r="MW10" s="31"/>
      <c r="MX10" s="31"/>
      <c r="MY10" s="31"/>
      <c r="MZ10" s="31"/>
      <c r="NA10" s="31"/>
      <c r="NB10" s="31"/>
      <c r="NC10" s="31"/>
      <c r="ND10" s="31"/>
      <c r="NE10" s="31"/>
      <c r="NF10" s="31"/>
      <c r="NG10" s="31"/>
      <c r="NH10" s="31"/>
      <c r="NI10" s="31"/>
      <c r="NJ10" s="31"/>
      <c r="NK10" s="31"/>
      <c r="NL10" s="31"/>
      <c r="NM10" s="31"/>
      <c r="NN10" s="31"/>
      <c r="NO10" s="31"/>
      <c r="NP10" s="31"/>
      <c r="NQ10" s="31"/>
      <c r="NR10" s="31"/>
      <c r="NS10" s="31"/>
      <c r="NT10" s="31"/>
      <c r="NU10" s="31"/>
      <c r="NV10" s="31"/>
      <c r="NW10" s="31"/>
      <c r="NX10" s="31"/>
      <c r="NY10" s="31"/>
      <c r="NZ10" s="31"/>
      <c r="OA10" s="31"/>
      <c r="OB10" s="31"/>
      <c r="OC10" s="31"/>
      <c r="OD10" s="31"/>
      <c r="OE10" s="31"/>
      <c r="OF10" s="31"/>
      <c r="OG10" s="31"/>
      <c r="OH10" s="31"/>
      <c r="OI10" s="31"/>
      <c r="OJ10" s="31"/>
      <c r="OK10" s="31"/>
      <c r="OL10" s="31"/>
      <c r="OM10" s="31"/>
      <c r="ON10" s="31"/>
      <c r="OO10" s="31"/>
      <c r="OP10" s="31"/>
      <c r="OQ10" s="31"/>
      <c r="OR10" s="31"/>
      <c r="OS10" s="31"/>
      <c r="OT10" s="31"/>
      <c r="OU10" s="31"/>
      <c r="OV10" s="31"/>
      <c r="OW10" s="31"/>
      <c r="OX10" s="31"/>
      <c r="OY10" s="31"/>
      <c r="OZ10" s="31"/>
      <c r="PA10" s="31"/>
      <c r="PB10" s="31"/>
      <c r="PC10" s="31"/>
      <c r="PD10" s="31"/>
      <c r="PE10" s="31"/>
      <c r="PF10" s="31"/>
      <c r="PG10" s="31"/>
      <c r="PH10" s="31"/>
      <c r="PI10" s="31"/>
      <c r="PJ10" s="31"/>
      <c r="PK10" s="31"/>
      <c r="PL10" s="31"/>
      <c r="PM10" s="31"/>
      <c r="PN10" s="31"/>
      <c r="PO10" s="31"/>
      <c r="PP10" s="31"/>
      <c r="PQ10" s="31"/>
      <c r="PR10" s="31"/>
      <c r="PS10" s="31"/>
      <c r="PT10" s="31"/>
      <c r="PU10" s="31"/>
      <c r="PV10" s="31"/>
      <c r="PW10" s="31"/>
      <c r="PX10" s="31"/>
      <c r="PY10" s="31"/>
      <c r="PZ10" s="31"/>
      <c r="QA10" s="31"/>
      <c r="QB10" s="31"/>
      <c r="QC10" s="31"/>
      <c r="QD10" s="31"/>
      <c r="QE10" s="31"/>
      <c r="QF10" s="31"/>
      <c r="QG10" s="31"/>
      <c r="QH10" s="31"/>
      <c r="QI10" s="31"/>
      <c r="QJ10" s="31"/>
      <c r="QK10" s="31"/>
      <c r="QL10" s="31"/>
      <c r="QM10" s="31"/>
      <c r="QN10" s="31"/>
      <c r="QO10" s="31"/>
      <c r="QP10" s="31"/>
      <c r="QQ10" s="31"/>
      <c r="QR10" s="31"/>
      <c r="QS10" s="31"/>
      <c r="QT10" s="31"/>
      <c r="QU10" s="31"/>
      <c r="QV10" s="31"/>
      <c r="QW10" s="31"/>
      <c r="QX10" s="31"/>
      <c r="QY10" s="31"/>
      <c r="QZ10" s="31"/>
      <c r="RA10" s="31"/>
      <c r="RB10" s="31"/>
      <c r="RC10" s="31"/>
      <c r="RD10" s="31"/>
      <c r="RE10" s="31"/>
      <c r="RF10" s="31"/>
      <c r="RG10" s="31"/>
      <c r="RH10" s="31"/>
      <c r="RI10" s="31"/>
      <c r="RJ10" s="31"/>
      <c r="RK10" s="31"/>
      <c r="RL10" s="31"/>
      <c r="RM10" s="31"/>
      <c r="RN10" s="31"/>
      <c r="RO10" s="31"/>
      <c r="RP10" s="31"/>
      <c r="RQ10" s="31"/>
      <c r="RR10" s="31"/>
      <c r="RS10" s="31"/>
      <c r="RT10" s="31"/>
      <c r="RU10" s="31"/>
      <c r="RV10" s="31"/>
      <c r="RW10" s="31"/>
      <c r="RX10" s="31"/>
      <c r="RY10" s="31"/>
      <c r="RZ10" s="31"/>
      <c r="SA10" s="31"/>
      <c r="SB10" s="31"/>
      <c r="SC10" s="31"/>
      <c r="SD10" s="31"/>
      <c r="SE10" s="31"/>
      <c r="SF10" s="31"/>
      <c r="SG10" s="31"/>
      <c r="SH10" s="31"/>
      <c r="SI10" s="31"/>
      <c r="SJ10" s="31"/>
      <c r="SK10" s="31"/>
      <c r="SL10" s="31"/>
      <c r="SM10" s="31"/>
      <c r="SN10" s="31"/>
      <c r="SO10" s="31"/>
      <c r="SP10" s="31"/>
      <c r="SQ10" s="31"/>
      <c r="SR10" s="31"/>
      <c r="SS10" s="31"/>
      <c r="ST10" s="31"/>
      <c r="SU10" s="31"/>
      <c r="SV10" s="31"/>
      <c r="SW10" s="31"/>
      <c r="SX10" s="31"/>
      <c r="SY10" s="31"/>
      <c r="SZ10" s="31"/>
      <c r="TA10" s="31"/>
      <c r="TB10" s="31"/>
      <c r="TC10" s="31"/>
      <c r="TD10" s="31"/>
      <c r="TE10" s="31"/>
      <c r="TF10" s="31"/>
      <c r="TG10" s="31"/>
      <c r="TH10" s="31"/>
      <c r="TI10" s="31"/>
      <c r="TJ10" s="31"/>
      <c r="TK10" s="31"/>
      <c r="TL10" s="31"/>
      <c r="TM10" s="31"/>
      <c r="TN10" s="31"/>
      <c r="TO10" s="31"/>
      <c r="TP10" s="31"/>
      <c r="TQ10" s="31"/>
      <c r="TR10" s="31"/>
      <c r="TS10" s="31"/>
      <c r="TT10" s="31"/>
      <c r="TU10" s="31"/>
      <c r="TV10" s="31"/>
      <c r="TW10" s="31"/>
      <c r="TX10" s="31"/>
      <c r="TY10" s="31"/>
      <c r="TZ10" s="31"/>
      <c r="UA10" s="31"/>
      <c r="UB10" s="31"/>
      <c r="UC10" s="31"/>
      <c r="UD10" s="31"/>
      <c r="UE10" s="31"/>
      <c r="UF10" s="31"/>
      <c r="UG10" s="31"/>
      <c r="UH10" s="31"/>
      <c r="UI10" s="31"/>
      <c r="UJ10" s="31"/>
      <c r="UK10" s="31"/>
      <c r="UL10" s="31"/>
      <c r="UM10" s="31"/>
      <c r="UN10" s="31"/>
      <c r="UO10" s="31"/>
      <c r="UP10" s="31"/>
      <c r="UQ10" s="31"/>
      <c r="UR10" s="31"/>
      <c r="US10" s="31"/>
      <c r="UT10" s="31"/>
      <c r="UU10" s="31"/>
      <c r="UV10" s="31"/>
      <c r="UW10" s="31"/>
      <c r="UX10" s="31"/>
      <c r="UY10" s="31"/>
      <c r="UZ10" s="31"/>
      <c r="VA10" s="31"/>
      <c r="VB10" s="31"/>
      <c r="VC10" s="31"/>
      <c r="VD10" s="31"/>
      <c r="VE10" s="31"/>
      <c r="VF10" s="31"/>
      <c r="VG10" s="31"/>
      <c r="VH10" s="31"/>
      <c r="VI10" s="31"/>
      <c r="VJ10" s="31"/>
      <c r="VK10" s="31"/>
      <c r="VL10" s="31"/>
      <c r="VM10" s="31"/>
      <c r="VN10" s="31"/>
      <c r="VO10" s="31"/>
      <c r="VP10" s="31"/>
      <c r="VQ10" s="31"/>
      <c r="VR10" s="31"/>
      <c r="VS10" s="31"/>
      <c r="VT10" s="31"/>
      <c r="VU10" s="31"/>
      <c r="VV10" s="31"/>
      <c r="VW10" s="31"/>
      <c r="VX10" s="31"/>
      <c r="VY10" s="31"/>
      <c r="VZ10" s="31"/>
      <c r="WA10" s="31"/>
      <c r="WB10" s="31"/>
      <c r="WC10" s="31"/>
      <c r="WD10" s="31"/>
      <c r="WE10" s="31"/>
      <c r="WF10" s="31"/>
      <c r="WG10" s="31"/>
      <c r="WH10" s="31"/>
      <c r="WI10" s="31"/>
      <c r="WJ10" s="31"/>
      <c r="WK10" s="31"/>
      <c r="WL10" s="31"/>
      <c r="WM10" s="31"/>
      <c r="WN10" s="31"/>
      <c r="WO10" s="31"/>
      <c r="WP10" s="31"/>
      <c r="WQ10" s="31"/>
      <c r="WR10" s="31"/>
      <c r="WS10" s="31"/>
      <c r="WT10" s="31"/>
      <c r="WU10" s="31"/>
      <c r="WV10" s="31"/>
      <c r="WW10" s="31"/>
      <c r="WX10" s="31"/>
      <c r="WY10" s="31"/>
      <c r="WZ10" s="31"/>
      <c r="XA10" s="31"/>
      <c r="XB10" s="31"/>
      <c r="XC10" s="31"/>
      <c r="XD10" s="31"/>
      <c r="XE10" s="31"/>
      <c r="XF10" s="31"/>
      <c r="XG10" s="31"/>
      <c r="XH10" s="31"/>
      <c r="XI10" s="31"/>
      <c r="XJ10" s="31"/>
      <c r="XK10" s="31"/>
      <c r="XL10" s="31"/>
      <c r="XM10" s="31"/>
      <c r="XN10" s="31"/>
      <c r="XO10" s="31"/>
      <c r="XP10" s="31"/>
      <c r="XQ10" s="31"/>
      <c r="XR10" s="31"/>
      <c r="XS10" s="31"/>
      <c r="XT10" s="31"/>
      <c r="XU10" s="31"/>
      <c r="XV10" s="31"/>
      <c r="XW10" s="31"/>
      <c r="XX10" s="31"/>
      <c r="XY10" s="31"/>
      <c r="XZ10" s="31"/>
      <c r="YA10" s="31"/>
      <c r="YB10" s="31"/>
      <c r="YC10" s="31"/>
      <c r="YD10" s="31"/>
      <c r="YE10" s="31"/>
      <c r="YF10" s="31"/>
      <c r="YG10" s="31"/>
      <c r="YH10" s="31"/>
      <c r="YI10" s="31"/>
      <c r="YJ10" s="31"/>
      <c r="YK10" s="31"/>
      <c r="YL10" s="31"/>
      <c r="YM10" s="31"/>
      <c r="YN10" s="31"/>
      <c r="YO10" s="31"/>
      <c r="YP10" s="31"/>
      <c r="YQ10" s="31"/>
      <c r="YR10" s="31"/>
      <c r="YS10" s="31"/>
      <c r="YT10" s="31"/>
      <c r="YU10" s="31"/>
      <c r="YV10" s="31"/>
      <c r="YW10" s="31"/>
      <c r="YX10" s="31"/>
      <c r="YY10" s="31"/>
      <c r="YZ10" s="31"/>
      <c r="ZA10" s="31"/>
      <c r="ZB10" s="31"/>
      <c r="ZC10" s="31"/>
      <c r="ZD10" s="31"/>
      <c r="ZE10" s="31"/>
      <c r="ZF10" s="31"/>
      <c r="ZG10" s="31"/>
      <c r="ZH10" s="31"/>
      <c r="ZI10" s="31"/>
      <c r="ZJ10" s="31"/>
      <c r="ZK10" s="31"/>
      <c r="ZL10" s="31"/>
      <c r="ZM10" s="31"/>
      <c r="ZN10" s="31"/>
      <c r="ZO10" s="31"/>
      <c r="ZP10" s="31"/>
      <c r="ZQ10" s="31"/>
      <c r="ZR10" s="31"/>
      <c r="ZS10" s="31"/>
      <c r="ZT10" s="31"/>
      <c r="ZU10" s="31"/>
      <c r="ZV10" s="31"/>
      <c r="ZW10" s="31"/>
      <c r="ZX10" s="31"/>
      <c r="ZY10" s="31"/>
      <c r="ZZ10" s="31"/>
      <c r="AAA10" s="31"/>
      <c r="AAB10" s="31"/>
      <c r="AAC10" s="31"/>
      <c r="AAD10" s="31"/>
      <c r="AAE10" s="31"/>
      <c r="AAF10" s="31"/>
      <c r="AAG10" s="31"/>
      <c r="AAH10" s="31"/>
      <c r="AAI10" s="31"/>
      <c r="AAJ10" s="31"/>
      <c r="AAK10" s="31"/>
      <c r="AAL10" s="31"/>
      <c r="AAM10" s="31"/>
      <c r="AAN10" s="31"/>
      <c r="AAO10" s="31"/>
      <c r="AAP10" s="31"/>
      <c r="AAQ10" s="31"/>
      <c r="AAR10" s="31"/>
      <c r="AAS10" s="31"/>
      <c r="AAT10" s="31"/>
      <c r="AAU10" s="31"/>
      <c r="AAV10" s="31"/>
      <c r="AAW10" s="31"/>
      <c r="AAX10" s="31"/>
      <c r="AAY10" s="31"/>
      <c r="AAZ10" s="31"/>
      <c r="ABA10" s="31"/>
      <c r="ABB10" s="31"/>
      <c r="ABC10" s="31"/>
      <c r="ABD10" s="31"/>
      <c r="ABE10" s="31"/>
      <c r="ABF10" s="31"/>
      <c r="ABG10" s="31"/>
      <c r="ABH10" s="31"/>
      <c r="ABI10" s="31"/>
      <c r="ABJ10" s="31"/>
      <c r="ABK10" s="31"/>
      <c r="ABL10" s="31"/>
      <c r="ABM10" s="31"/>
      <c r="ABN10" s="31"/>
      <c r="ABO10" s="31"/>
      <c r="ABP10" s="31"/>
      <c r="ABQ10" s="31"/>
      <c r="ABR10" s="31"/>
      <c r="ABS10" s="31"/>
      <c r="ABT10" s="31"/>
      <c r="ABU10" s="31"/>
      <c r="ABV10" s="31"/>
      <c r="ABW10" s="31"/>
      <c r="ABX10" s="31"/>
      <c r="ABY10" s="31"/>
      <c r="ABZ10" s="31"/>
      <c r="ACA10" s="31"/>
      <c r="ACB10" s="31"/>
      <c r="ACC10" s="31"/>
      <c r="ACD10" s="31"/>
      <c r="ACE10" s="31"/>
      <c r="ACF10" s="31"/>
      <c r="ACG10" s="31"/>
      <c r="ACH10" s="31"/>
      <c r="ACI10" s="31"/>
      <c r="ACJ10" s="31"/>
      <c r="ACK10" s="31"/>
      <c r="ACL10" s="31"/>
      <c r="ACM10" s="31"/>
      <c r="ACN10" s="31"/>
      <c r="ACO10" s="31"/>
      <c r="ACP10" s="31"/>
      <c r="ACQ10" s="31"/>
      <c r="ACR10" s="31"/>
      <c r="ACS10" s="31"/>
      <c r="ACT10" s="31"/>
      <c r="ACU10" s="31"/>
      <c r="ACV10" s="31"/>
      <c r="ACW10" s="31"/>
      <c r="ACX10" s="31"/>
      <c r="ACY10" s="31"/>
      <c r="ACZ10" s="31"/>
      <c r="ADA10" s="31"/>
      <c r="ADB10" s="31"/>
      <c r="ADC10" s="31"/>
      <c r="ADD10" s="31"/>
      <c r="ADE10" s="31"/>
      <c r="ADF10" s="31"/>
      <c r="ADG10" s="31"/>
      <c r="ADH10" s="31"/>
      <c r="ADI10" s="31"/>
      <c r="ADJ10" s="31"/>
      <c r="ADK10" s="31"/>
      <c r="ADL10" s="31"/>
      <c r="ADM10" s="31"/>
      <c r="ADN10" s="31"/>
      <c r="ADO10" s="31"/>
      <c r="ADP10" s="31"/>
      <c r="ADQ10" s="31"/>
      <c r="ADR10" s="31"/>
      <c r="ADS10" s="31"/>
      <c r="ADT10" s="31"/>
      <c r="ADU10" s="31"/>
      <c r="ADV10" s="31"/>
      <c r="ADW10" s="31"/>
      <c r="ADX10" s="31"/>
      <c r="ADY10" s="31"/>
      <c r="ADZ10" s="31"/>
      <c r="AEA10" s="31"/>
      <c r="AEB10" s="31"/>
      <c r="AEC10" s="31"/>
      <c r="AED10" s="31"/>
      <c r="AEE10" s="31"/>
      <c r="AEF10" s="31"/>
      <c r="AEG10" s="31"/>
      <c r="AEH10" s="31"/>
      <c r="AEI10" s="31"/>
      <c r="AEJ10" s="31"/>
      <c r="AEK10" s="31"/>
      <c r="AEL10" s="31"/>
      <c r="AEM10" s="31"/>
      <c r="AEN10" s="31"/>
      <c r="AEO10" s="31"/>
      <c r="AEP10" s="31"/>
      <c r="AEQ10" s="31"/>
      <c r="AER10" s="31"/>
      <c r="AES10" s="31"/>
      <c r="AET10" s="31"/>
      <c r="AEU10" s="31"/>
      <c r="AEV10" s="31"/>
      <c r="AEW10" s="31"/>
      <c r="AEX10" s="31"/>
      <c r="AEY10" s="31"/>
      <c r="AEZ10" s="31"/>
      <c r="AFA10" s="31"/>
      <c r="AFB10" s="31"/>
      <c r="AFC10" s="31"/>
      <c r="AFD10" s="31"/>
      <c r="AFE10" s="31"/>
      <c r="AFF10" s="31"/>
      <c r="AFG10" s="31"/>
      <c r="AFH10" s="31"/>
      <c r="AFI10" s="31"/>
      <c r="AFJ10" s="31"/>
      <c r="AFK10" s="31"/>
      <c r="AFL10" s="31"/>
      <c r="AFM10" s="31"/>
      <c r="AFN10" s="31"/>
      <c r="AFO10" s="31"/>
      <c r="AFP10" s="31"/>
      <c r="AFQ10" s="31"/>
      <c r="AFR10" s="31"/>
      <c r="AFS10" s="31"/>
      <c r="AFT10" s="31"/>
      <c r="AFU10" s="31"/>
      <c r="AFV10" s="31"/>
      <c r="AFW10" s="31"/>
      <c r="AFX10" s="31"/>
      <c r="AFY10" s="31"/>
      <c r="AFZ10" s="31"/>
      <c r="AGA10" s="31"/>
      <c r="AGB10" s="31"/>
      <c r="AGC10" s="31"/>
      <c r="AGD10" s="31"/>
      <c r="AGE10" s="31"/>
      <c r="AGF10" s="31"/>
      <c r="AGG10" s="31"/>
      <c r="AGH10" s="31"/>
      <c r="AGI10" s="31"/>
      <c r="AGJ10" s="31"/>
      <c r="AGK10" s="31"/>
      <c r="AGL10" s="31"/>
      <c r="AGM10" s="31"/>
      <c r="AGN10" s="31"/>
      <c r="AGO10" s="31"/>
      <c r="AGP10" s="31"/>
      <c r="AGQ10" s="31"/>
      <c r="AGR10" s="31"/>
      <c r="AGS10" s="31"/>
      <c r="AGT10" s="31"/>
      <c r="AGU10" s="31"/>
      <c r="AGV10" s="31"/>
      <c r="AGW10" s="31"/>
      <c r="AGX10" s="31"/>
      <c r="AGY10" s="31"/>
      <c r="AGZ10" s="31"/>
      <c r="AHA10" s="31"/>
      <c r="AHB10" s="31"/>
      <c r="AHC10" s="31"/>
      <c r="AHD10" s="31"/>
      <c r="AHE10" s="31"/>
      <c r="AHF10" s="31"/>
      <c r="AHG10" s="31"/>
      <c r="AHH10" s="31"/>
      <c r="AHI10" s="31"/>
      <c r="AHJ10" s="31"/>
      <c r="AHK10" s="31"/>
      <c r="AHL10" s="31"/>
      <c r="AHM10" s="31"/>
      <c r="AHN10" s="31"/>
      <c r="AHO10" s="31"/>
      <c r="AHP10" s="31"/>
      <c r="AHQ10" s="31"/>
      <c r="AHR10" s="31"/>
      <c r="AHS10" s="31"/>
      <c r="AHT10" s="31"/>
      <c r="AHU10" s="31"/>
      <c r="AHV10" s="31"/>
      <c r="AHW10" s="31"/>
      <c r="AHX10" s="31"/>
      <c r="AHY10" s="31"/>
      <c r="AHZ10" s="31"/>
      <c r="AIA10" s="31"/>
      <c r="AIB10" s="31"/>
      <c r="AIC10" s="31"/>
      <c r="AID10" s="31"/>
      <c r="AIE10" s="31"/>
      <c r="AIF10" s="31"/>
      <c r="AIG10" s="31"/>
      <c r="AIH10" s="31"/>
      <c r="AII10" s="31"/>
      <c r="AIJ10" s="31"/>
      <c r="AIK10" s="31"/>
      <c r="AIL10" s="31"/>
      <c r="AIM10" s="31"/>
      <c r="AIN10" s="31"/>
      <c r="AIO10" s="31"/>
      <c r="AIP10" s="31"/>
      <c r="AIQ10" s="31"/>
      <c r="AIR10" s="31"/>
      <c r="AIS10" s="31"/>
      <c r="AIT10" s="31"/>
      <c r="AIU10" s="31"/>
      <c r="AIV10" s="31"/>
      <c r="AIW10" s="31"/>
      <c r="AIX10" s="31"/>
      <c r="AIY10" s="31"/>
      <c r="AIZ10" s="31"/>
      <c r="AJA10" s="31"/>
      <c r="AJB10" s="31"/>
      <c r="AJC10" s="31"/>
      <c r="AJD10" s="31"/>
      <c r="AJE10" s="31"/>
      <c r="AJF10" s="31"/>
      <c r="AJG10" s="31"/>
      <c r="AJH10" s="31"/>
      <c r="AJI10" s="31"/>
      <c r="AJJ10" s="31"/>
      <c r="AJK10" s="31"/>
      <c r="AJL10" s="31"/>
      <c r="AJM10" s="31"/>
      <c r="AJN10" s="31"/>
      <c r="AJO10" s="31"/>
      <c r="AJP10" s="31"/>
      <c r="AJQ10" s="31"/>
      <c r="AJR10" s="31"/>
      <c r="AJS10" s="31"/>
      <c r="AJT10" s="31"/>
      <c r="AJU10" s="31"/>
      <c r="AJV10" s="31"/>
      <c r="AJW10" s="31"/>
      <c r="AJX10" s="31"/>
      <c r="AJY10" s="31"/>
      <c r="AJZ10" s="31"/>
      <c r="AKA10" s="31"/>
      <c r="AKB10" s="31"/>
      <c r="AKC10" s="31"/>
      <c r="AKD10" s="31"/>
      <c r="AKE10" s="31"/>
      <c r="AKF10" s="31"/>
      <c r="AKG10" s="31"/>
      <c r="AKH10" s="31"/>
      <c r="AKI10" s="31"/>
      <c r="AKJ10" s="31"/>
      <c r="AKK10" s="31"/>
      <c r="AKL10" s="31"/>
      <c r="AKM10" s="31"/>
      <c r="AKN10" s="31"/>
      <c r="AKO10" s="31"/>
      <c r="AKP10" s="31"/>
      <c r="AKQ10" s="31"/>
      <c r="AKR10" s="31"/>
      <c r="AKS10" s="31"/>
      <c r="AKT10" s="31"/>
      <c r="AKU10" s="31"/>
      <c r="AKV10" s="31"/>
      <c r="AKW10" s="31"/>
      <c r="AKX10" s="31"/>
      <c r="AKY10" s="31"/>
      <c r="AKZ10" s="31"/>
      <c r="ALA10" s="31"/>
      <c r="ALB10" s="31"/>
      <c r="ALC10" s="31"/>
      <c r="ALD10" s="31"/>
      <c r="ALE10" s="31"/>
      <c r="ALF10" s="31"/>
      <c r="ALG10" s="31"/>
      <c r="ALH10" s="31"/>
      <c r="ALI10" s="31"/>
      <c r="ALJ10" s="31"/>
      <c r="ALK10" s="31"/>
      <c r="ALL10" s="31"/>
      <c r="ALM10" s="31"/>
      <c r="ALN10" s="31"/>
      <c r="ALO10" s="31"/>
      <c r="ALP10" s="31"/>
      <c r="ALQ10" s="31"/>
      <c r="ALR10" s="31"/>
      <c r="ALS10" s="31"/>
      <c r="ALT10" s="31"/>
      <c r="ALU10" s="31"/>
      <c r="ALV10" s="31"/>
      <c r="ALW10" s="31"/>
      <c r="ALX10" s="31"/>
      <c r="ALY10" s="31"/>
      <c r="ALZ10" s="31"/>
      <c r="AMA10" s="31"/>
      <c r="AMB10" s="31"/>
      <c r="AMC10" s="31"/>
      <c r="AMD10" s="31"/>
    </row>
    <row r="11" s="18" customFormat="true" ht="15" hidden="false" customHeight="true" outlineLevel="0" collapsed="false">
      <c r="B11" s="119" t="str">
        <f aca="false">'Base Caxias do Sul'!B13</f>
        <v>APS BENTO GONÇALVES</v>
      </c>
      <c r="C11" s="273" t="n">
        <f aca="false">VLOOKUP(B11,Unidades!$D$5:$G$35,4,)</f>
        <v>0.03</v>
      </c>
      <c r="D11" s="274" t="n">
        <f aca="false">'Base Caxias do Sul'!AD13*12+'Base Caxias do Sul'!AE13*4+'Base Caxias do Sul'!AF13*2+'Base Caxias do Sul'!AG13</f>
        <v>9380.8613556826</v>
      </c>
      <c r="E11" s="274" t="n">
        <f aca="false">'Base Caxias do Sul'!AK13*12+'Base Caxias do Sul'!AL13*4+'Base Caxias do Sul'!AM13*2+'Base Caxias do Sul'!AN13</f>
        <v>12053.4687559166</v>
      </c>
      <c r="G11" s="264" t="n">
        <v>0.05</v>
      </c>
      <c r="H11" s="275" t="n">
        <f aca="false">SUMIF(C$5:C$35,G11,D$5:D$35)</f>
        <v>7378.03735701195</v>
      </c>
      <c r="I11" s="275" t="n">
        <f aca="false">SUMIF(C$5:C$35,G11,E$5:E$35)</f>
        <v>9696.21669458511</v>
      </c>
      <c r="J11" s="275" t="n">
        <f aca="false">H11*4</f>
        <v>29512.1494280478</v>
      </c>
      <c r="K11" s="275" t="n">
        <f aca="false">I11*4</f>
        <v>38784.8667783404</v>
      </c>
      <c r="L11" s="276" t="n">
        <f aca="false">H11/H$13</f>
        <v>0.0250074907229357</v>
      </c>
      <c r="M11" s="276" t="n">
        <f aca="false">I11/I$13</f>
        <v>0.0256548215324516</v>
      </c>
    </row>
    <row r="12" s="18" customFormat="true" ht="15" hidden="false" customHeight="true" outlineLevel="0" collapsed="false">
      <c r="B12" s="119" t="str">
        <f aca="false">'Base Caxias do Sul'!B14</f>
        <v>APS FARROUPILHA</v>
      </c>
      <c r="C12" s="273" t="n">
        <f aca="false">VLOOKUP(B12,Unidades!$D$5:$G$35,4,)</f>
        <v>0.02</v>
      </c>
      <c r="D12" s="274" t="n">
        <f aca="false">'Base Caxias do Sul'!AD14*12+'Base Caxias do Sul'!AE14*4+'Base Caxias do Sul'!AF14*2+'Base Caxias do Sul'!AG14</f>
        <v>7296.87792821195</v>
      </c>
      <c r="E12" s="274" t="n">
        <f aca="false">'Base Caxias do Sul'!AK14*12+'Base Caxias do Sul'!AL14*4+'Base Caxias do Sul'!AM14*2+'Base Caxias do Sul'!AN14</f>
        <v>9272.14278337893</v>
      </c>
      <c r="G12" s="19"/>
    </row>
    <row r="13" s="18" customFormat="true" ht="15" hidden="false" customHeight="true" outlineLevel="0" collapsed="false">
      <c r="B13" s="119" t="str">
        <f aca="false">'Base Caxias do Sul'!B15</f>
        <v>APS CANELA</v>
      </c>
      <c r="C13" s="273" t="n">
        <f aca="false">VLOOKUP(B13,Unidades!$D$5:$G$35,4,)</f>
        <v>0.03</v>
      </c>
      <c r="D13" s="274" t="n">
        <f aca="false">'Base Caxias do Sul'!AD15*12+'Base Caxias do Sul'!AE15*4+'Base Caxias do Sul'!AF15*2+'Base Caxias do Sul'!AG15</f>
        <v>13291.1861461694</v>
      </c>
      <c r="E13" s="274" t="n">
        <f aca="false">'Base Caxias do Sul'!AK15*12+'Base Caxias do Sul'!AL15*4+'Base Caxias do Sul'!AM15*2+'Base Caxias do Sul'!AN15</f>
        <v>17077.8450792131</v>
      </c>
      <c r="G13" s="271" t="s">
        <v>96</v>
      </c>
      <c r="H13" s="277" t="n">
        <f aca="false">SUM(H5:H11)</f>
        <v>295033.093833967</v>
      </c>
      <c r="I13" s="277" t="n">
        <f aca="false">SUM(I5:I11)</f>
        <v>377949.099443941</v>
      </c>
      <c r="J13" s="277" t="n">
        <f aca="false">SUM(J5:J11)</f>
        <v>1180132.37533587</v>
      </c>
      <c r="K13" s="277" t="n">
        <f aca="false">SUM(K5:K11)</f>
        <v>1511796.39777576</v>
      </c>
      <c r="L13" s="278" t="n">
        <f aca="false">SUM(L5:L11)</f>
        <v>1</v>
      </c>
      <c r="M13" s="278" t="n">
        <f aca="false">SUM(M5:M11)</f>
        <v>1</v>
      </c>
    </row>
    <row r="14" s="31" customFormat="true" ht="15" hidden="false" customHeight="true" outlineLevel="0" collapsed="false">
      <c r="A14" s="18"/>
      <c r="B14" s="119" t="str">
        <f aca="false">'Base Caxias do Sul'!B16</f>
        <v>APS TORRES</v>
      </c>
      <c r="C14" s="273" t="n">
        <f aca="false">VLOOKUP(B14,Unidades!$D$5:$G$35,4,)</f>
        <v>0.02</v>
      </c>
      <c r="D14" s="274" t="n">
        <f aca="false">'Base Caxias do Sul'!AD16*12+'Base Caxias do Sul'!AE16*4+'Base Caxias do Sul'!AF16*2+'Base Caxias do Sul'!AG16</f>
        <v>12247.719013212</v>
      </c>
      <c r="E14" s="274" t="n">
        <f aca="false">'Base Caxias do Sul'!AK16*12+'Base Caxias do Sul'!AL16*4+'Base Caxias do Sul'!AM16*2+'Base Caxias do Sul'!AN16</f>
        <v>15563.1765500884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  <c r="IV14" s="18"/>
      <c r="IW14" s="18"/>
      <c r="IX14" s="18"/>
      <c r="IY14" s="18"/>
      <c r="IZ14" s="18"/>
      <c r="JA14" s="18"/>
      <c r="JB14" s="18"/>
      <c r="JC14" s="18"/>
      <c r="JD14" s="18"/>
      <c r="JE14" s="18"/>
      <c r="JF14" s="18"/>
      <c r="JG14" s="18"/>
      <c r="JH14" s="18"/>
      <c r="JI14" s="18"/>
      <c r="JJ14" s="18"/>
      <c r="JK14" s="18"/>
      <c r="JL14" s="18"/>
      <c r="JM14" s="18"/>
      <c r="JN14" s="18"/>
      <c r="JO14" s="18"/>
      <c r="JP14" s="18"/>
      <c r="JQ14" s="18"/>
      <c r="JR14" s="18"/>
      <c r="JS14" s="18"/>
      <c r="JT14" s="18"/>
      <c r="JU14" s="18"/>
      <c r="JV14" s="18"/>
      <c r="JW14" s="18"/>
      <c r="JX14" s="18"/>
      <c r="JY14" s="18"/>
      <c r="JZ14" s="18"/>
      <c r="KA14" s="18"/>
      <c r="KB14" s="18"/>
      <c r="KC14" s="18"/>
      <c r="KD14" s="18"/>
      <c r="KE14" s="18"/>
      <c r="KF14" s="18"/>
      <c r="KG14" s="18"/>
      <c r="KH14" s="18"/>
      <c r="KI14" s="18"/>
      <c r="KJ14" s="18"/>
      <c r="KK14" s="18"/>
      <c r="KL14" s="18"/>
      <c r="KM14" s="18"/>
      <c r="KN14" s="18"/>
      <c r="KO14" s="18"/>
      <c r="KP14" s="18"/>
      <c r="KQ14" s="18"/>
      <c r="KR14" s="18"/>
      <c r="KS14" s="18"/>
      <c r="KT14" s="18"/>
      <c r="KU14" s="18"/>
      <c r="KV14" s="18"/>
      <c r="KW14" s="18"/>
      <c r="KX14" s="18"/>
      <c r="KY14" s="18"/>
      <c r="KZ14" s="18"/>
      <c r="LA14" s="18"/>
      <c r="LB14" s="18"/>
      <c r="LC14" s="18"/>
      <c r="LD14" s="18"/>
      <c r="LE14" s="18"/>
      <c r="LF14" s="18"/>
      <c r="LG14" s="18"/>
      <c r="LH14" s="18"/>
      <c r="LI14" s="18"/>
      <c r="LJ14" s="18"/>
      <c r="LK14" s="18"/>
      <c r="LL14" s="18"/>
      <c r="LM14" s="18"/>
      <c r="LN14" s="18"/>
      <c r="LO14" s="18"/>
      <c r="LP14" s="18"/>
      <c r="LQ14" s="18"/>
      <c r="LR14" s="18"/>
      <c r="LS14" s="18"/>
      <c r="LT14" s="18"/>
      <c r="LU14" s="18"/>
      <c r="LV14" s="18"/>
      <c r="LW14" s="18"/>
      <c r="LX14" s="18"/>
      <c r="LY14" s="18"/>
      <c r="LZ14" s="18"/>
      <c r="MA14" s="18"/>
      <c r="MB14" s="18"/>
      <c r="MC14" s="18"/>
      <c r="MD14" s="18"/>
      <c r="ME14" s="18"/>
      <c r="MF14" s="18"/>
      <c r="MG14" s="18"/>
      <c r="MH14" s="18"/>
      <c r="MI14" s="18"/>
      <c r="MJ14" s="18"/>
      <c r="MK14" s="18"/>
      <c r="ML14" s="18"/>
      <c r="MM14" s="18"/>
      <c r="MN14" s="18"/>
      <c r="MO14" s="18"/>
      <c r="MP14" s="18"/>
      <c r="MQ14" s="18"/>
      <c r="MR14" s="18"/>
      <c r="MS14" s="18"/>
      <c r="MT14" s="18"/>
      <c r="MU14" s="18"/>
      <c r="MV14" s="18"/>
      <c r="MW14" s="18"/>
      <c r="MX14" s="18"/>
      <c r="MY14" s="18"/>
      <c r="MZ14" s="18"/>
      <c r="NA14" s="18"/>
      <c r="NB14" s="18"/>
      <c r="NC14" s="18"/>
      <c r="ND14" s="18"/>
      <c r="NE14" s="18"/>
      <c r="NF14" s="18"/>
      <c r="NG14" s="18"/>
      <c r="NH14" s="18"/>
      <c r="NI14" s="18"/>
      <c r="NJ14" s="18"/>
      <c r="NK14" s="18"/>
      <c r="NL14" s="18"/>
      <c r="NM14" s="18"/>
      <c r="NN14" s="18"/>
      <c r="NO14" s="18"/>
      <c r="NP14" s="18"/>
      <c r="NQ14" s="18"/>
      <c r="NR14" s="18"/>
      <c r="NS14" s="18"/>
      <c r="NT14" s="18"/>
      <c r="NU14" s="18"/>
      <c r="NV14" s="18"/>
      <c r="NW14" s="18"/>
      <c r="NX14" s="18"/>
      <c r="NY14" s="18"/>
      <c r="NZ14" s="18"/>
      <c r="OA14" s="18"/>
      <c r="OB14" s="18"/>
      <c r="OC14" s="18"/>
      <c r="OD14" s="18"/>
      <c r="OE14" s="18"/>
      <c r="OF14" s="18"/>
      <c r="OG14" s="18"/>
      <c r="OH14" s="18"/>
      <c r="OI14" s="18"/>
      <c r="OJ14" s="18"/>
      <c r="OK14" s="18"/>
      <c r="OL14" s="18"/>
      <c r="OM14" s="18"/>
      <c r="ON14" s="18"/>
      <c r="OO14" s="18"/>
      <c r="OP14" s="18"/>
      <c r="OQ14" s="18"/>
      <c r="OR14" s="18"/>
      <c r="OS14" s="18"/>
      <c r="OT14" s="18"/>
      <c r="OU14" s="18"/>
      <c r="OV14" s="18"/>
      <c r="OW14" s="18"/>
      <c r="OX14" s="18"/>
      <c r="OY14" s="18"/>
      <c r="OZ14" s="18"/>
      <c r="PA14" s="18"/>
      <c r="PB14" s="18"/>
      <c r="PC14" s="18"/>
      <c r="PD14" s="18"/>
      <c r="PE14" s="18"/>
      <c r="PF14" s="18"/>
      <c r="PG14" s="18"/>
      <c r="PH14" s="18"/>
      <c r="PI14" s="18"/>
      <c r="PJ14" s="18"/>
      <c r="PK14" s="18"/>
      <c r="PL14" s="18"/>
      <c r="PM14" s="18"/>
      <c r="PN14" s="18"/>
      <c r="PO14" s="18"/>
      <c r="PP14" s="18"/>
      <c r="PQ14" s="18"/>
      <c r="PR14" s="18"/>
      <c r="PS14" s="18"/>
      <c r="PT14" s="18"/>
      <c r="PU14" s="18"/>
      <c r="PV14" s="18"/>
      <c r="PW14" s="18"/>
      <c r="PX14" s="18"/>
      <c r="PY14" s="18"/>
      <c r="PZ14" s="18"/>
      <c r="QA14" s="18"/>
      <c r="QB14" s="18"/>
      <c r="QC14" s="18"/>
      <c r="QD14" s="18"/>
      <c r="QE14" s="18"/>
      <c r="QF14" s="18"/>
      <c r="QG14" s="18"/>
      <c r="QH14" s="18"/>
      <c r="QI14" s="18"/>
      <c r="QJ14" s="18"/>
      <c r="QK14" s="18"/>
      <c r="QL14" s="18"/>
      <c r="QM14" s="18"/>
      <c r="QN14" s="18"/>
      <c r="QO14" s="18"/>
      <c r="QP14" s="18"/>
      <c r="QQ14" s="18"/>
      <c r="QR14" s="18"/>
      <c r="QS14" s="18"/>
      <c r="QT14" s="18"/>
      <c r="QU14" s="18"/>
      <c r="QV14" s="18"/>
      <c r="QW14" s="18"/>
      <c r="QX14" s="18"/>
      <c r="QY14" s="18"/>
      <c r="QZ14" s="18"/>
      <c r="RA14" s="18"/>
      <c r="RB14" s="18"/>
      <c r="RC14" s="18"/>
      <c r="RD14" s="18"/>
      <c r="RE14" s="18"/>
      <c r="RF14" s="18"/>
      <c r="RG14" s="18"/>
      <c r="RH14" s="18"/>
      <c r="RI14" s="18"/>
      <c r="RJ14" s="18"/>
      <c r="RK14" s="18"/>
      <c r="RL14" s="18"/>
      <c r="RM14" s="18"/>
      <c r="RN14" s="18"/>
      <c r="RO14" s="18"/>
      <c r="RP14" s="18"/>
      <c r="RQ14" s="18"/>
      <c r="RR14" s="18"/>
      <c r="RS14" s="18"/>
      <c r="RT14" s="18"/>
      <c r="RU14" s="18"/>
      <c r="RV14" s="18"/>
      <c r="RW14" s="18"/>
      <c r="RX14" s="18"/>
      <c r="RY14" s="18"/>
      <c r="RZ14" s="18"/>
      <c r="SA14" s="18"/>
      <c r="SB14" s="18"/>
      <c r="SC14" s="18"/>
      <c r="SD14" s="18"/>
      <c r="SE14" s="18"/>
      <c r="SF14" s="18"/>
      <c r="SG14" s="18"/>
      <c r="SH14" s="18"/>
      <c r="SI14" s="18"/>
      <c r="SJ14" s="18"/>
      <c r="SK14" s="18"/>
      <c r="SL14" s="18"/>
      <c r="SM14" s="18"/>
      <c r="SN14" s="18"/>
      <c r="SO14" s="18"/>
      <c r="SP14" s="18"/>
      <c r="SQ14" s="18"/>
      <c r="SR14" s="18"/>
      <c r="SS14" s="18"/>
      <c r="ST14" s="18"/>
      <c r="SU14" s="18"/>
      <c r="SV14" s="18"/>
      <c r="SW14" s="18"/>
      <c r="SX14" s="18"/>
      <c r="SY14" s="18"/>
      <c r="SZ14" s="18"/>
      <c r="TA14" s="18"/>
      <c r="TB14" s="18"/>
      <c r="TC14" s="18"/>
      <c r="TD14" s="18"/>
      <c r="TE14" s="18"/>
      <c r="TF14" s="18"/>
      <c r="TG14" s="18"/>
      <c r="TH14" s="18"/>
      <c r="TI14" s="18"/>
      <c r="TJ14" s="18"/>
      <c r="TK14" s="18"/>
      <c r="TL14" s="18"/>
      <c r="TM14" s="18"/>
      <c r="TN14" s="18"/>
      <c r="TO14" s="18"/>
      <c r="TP14" s="18"/>
      <c r="TQ14" s="18"/>
      <c r="TR14" s="18"/>
      <c r="TS14" s="18"/>
      <c r="TT14" s="18"/>
      <c r="TU14" s="18"/>
      <c r="TV14" s="18"/>
      <c r="TW14" s="18"/>
      <c r="TX14" s="18"/>
      <c r="TY14" s="18"/>
      <c r="TZ14" s="18"/>
      <c r="UA14" s="18"/>
      <c r="UB14" s="18"/>
      <c r="UC14" s="18"/>
      <c r="UD14" s="18"/>
      <c r="UE14" s="18"/>
      <c r="UF14" s="18"/>
      <c r="UG14" s="18"/>
      <c r="UH14" s="18"/>
      <c r="UI14" s="18"/>
      <c r="UJ14" s="18"/>
      <c r="UK14" s="18"/>
      <c r="UL14" s="18"/>
      <c r="UM14" s="18"/>
      <c r="UN14" s="18"/>
      <c r="UO14" s="18"/>
      <c r="UP14" s="18"/>
      <c r="UQ14" s="18"/>
      <c r="UR14" s="18"/>
      <c r="US14" s="18"/>
      <c r="UT14" s="18"/>
      <c r="UU14" s="18"/>
      <c r="UV14" s="18"/>
      <c r="UW14" s="18"/>
      <c r="UX14" s="18"/>
      <c r="UY14" s="18"/>
      <c r="UZ14" s="18"/>
      <c r="VA14" s="18"/>
      <c r="VB14" s="18"/>
      <c r="VC14" s="18"/>
      <c r="VD14" s="18"/>
      <c r="VE14" s="18"/>
      <c r="VF14" s="18"/>
      <c r="VG14" s="18"/>
      <c r="VH14" s="18"/>
      <c r="VI14" s="18"/>
      <c r="VJ14" s="18"/>
      <c r="VK14" s="18"/>
      <c r="VL14" s="18"/>
      <c r="VM14" s="18"/>
      <c r="VN14" s="18"/>
      <c r="VO14" s="18"/>
      <c r="VP14" s="18"/>
      <c r="VQ14" s="18"/>
      <c r="VR14" s="18"/>
      <c r="VS14" s="18"/>
      <c r="VT14" s="18"/>
      <c r="VU14" s="18"/>
      <c r="VV14" s="18"/>
      <c r="VW14" s="18"/>
      <c r="VX14" s="18"/>
      <c r="VY14" s="18"/>
      <c r="VZ14" s="18"/>
      <c r="WA14" s="18"/>
      <c r="WB14" s="18"/>
      <c r="WC14" s="18"/>
      <c r="WD14" s="18"/>
      <c r="WE14" s="18"/>
      <c r="WF14" s="18"/>
      <c r="WG14" s="18"/>
      <c r="WH14" s="18"/>
      <c r="WI14" s="18"/>
      <c r="WJ14" s="18"/>
      <c r="WK14" s="18"/>
      <c r="WL14" s="18"/>
      <c r="WM14" s="18"/>
      <c r="WN14" s="18"/>
      <c r="WO14" s="18"/>
      <c r="WP14" s="18"/>
      <c r="WQ14" s="18"/>
      <c r="WR14" s="18"/>
      <c r="WS14" s="18"/>
      <c r="WT14" s="18"/>
      <c r="WU14" s="18"/>
      <c r="WV14" s="18"/>
      <c r="WW14" s="18"/>
      <c r="WX14" s="18"/>
      <c r="WY14" s="18"/>
      <c r="WZ14" s="18"/>
      <c r="XA14" s="18"/>
      <c r="XB14" s="18"/>
      <c r="XC14" s="18"/>
      <c r="XD14" s="18"/>
      <c r="XE14" s="18"/>
      <c r="XF14" s="18"/>
      <c r="XG14" s="18"/>
      <c r="XH14" s="18"/>
      <c r="XI14" s="18"/>
      <c r="XJ14" s="18"/>
      <c r="XK14" s="18"/>
      <c r="XL14" s="18"/>
      <c r="XM14" s="18"/>
      <c r="XN14" s="18"/>
      <c r="XO14" s="18"/>
      <c r="XP14" s="18"/>
      <c r="XQ14" s="18"/>
      <c r="XR14" s="18"/>
      <c r="XS14" s="18"/>
      <c r="XT14" s="18"/>
      <c r="XU14" s="18"/>
      <c r="XV14" s="18"/>
      <c r="XW14" s="18"/>
      <c r="XX14" s="18"/>
      <c r="XY14" s="18"/>
      <c r="XZ14" s="18"/>
      <c r="YA14" s="18"/>
      <c r="YB14" s="18"/>
      <c r="YC14" s="18"/>
      <c r="YD14" s="18"/>
      <c r="YE14" s="18"/>
      <c r="YF14" s="18"/>
      <c r="YG14" s="18"/>
      <c r="YH14" s="18"/>
      <c r="YI14" s="18"/>
      <c r="YJ14" s="18"/>
      <c r="YK14" s="18"/>
      <c r="YL14" s="18"/>
      <c r="YM14" s="18"/>
      <c r="YN14" s="18"/>
      <c r="YO14" s="18"/>
      <c r="YP14" s="18"/>
      <c r="YQ14" s="18"/>
      <c r="YR14" s="18"/>
      <c r="YS14" s="18"/>
      <c r="YT14" s="18"/>
      <c r="YU14" s="18"/>
      <c r="YV14" s="18"/>
      <c r="YW14" s="18"/>
      <c r="YX14" s="18"/>
      <c r="YY14" s="18"/>
      <c r="YZ14" s="18"/>
      <c r="ZA14" s="18"/>
      <c r="ZB14" s="18"/>
      <c r="ZC14" s="18"/>
      <c r="ZD14" s="18"/>
      <c r="ZE14" s="18"/>
      <c r="ZF14" s="18"/>
      <c r="ZG14" s="18"/>
      <c r="ZH14" s="18"/>
      <c r="ZI14" s="18"/>
      <c r="ZJ14" s="18"/>
      <c r="ZK14" s="18"/>
      <c r="ZL14" s="18"/>
      <c r="ZM14" s="18"/>
      <c r="ZN14" s="18"/>
      <c r="ZO14" s="18"/>
      <c r="ZP14" s="18"/>
      <c r="ZQ14" s="18"/>
      <c r="ZR14" s="18"/>
      <c r="ZS14" s="18"/>
      <c r="ZT14" s="18"/>
      <c r="ZU14" s="18"/>
      <c r="ZV14" s="18"/>
      <c r="ZW14" s="18"/>
      <c r="ZX14" s="18"/>
      <c r="ZY14" s="18"/>
      <c r="ZZ14" s="18"/>
      <c r="AAA14" s="18"/>
      <c r="AAB14" s="18"/>
      <c r="AAC14" s="18"/>
      <c r="AAD14" s="18"/>
      <c r="AAE14" s="18"/>
      <c r="AAF14" s="18"/>
      <c r="AAG14" s="18"/>
      <c r="AAH14" s="18"/>
      <c r="AAI14" s="18"/>
      <c r="AAJ14" s="18"/>
      <c r="AAK14" s="18"/>
      <c r="AAL14" s="18"/>
      <c r="AAM14" s="18"/>
      <c r="AAN14" s="18"/>
      <c r="AAO14" s="18"/>
      <c r="AAP14" s="18"/>
      <c r="AAQ14" s="18"/>
      <c r="AAR14" s="18"/>
      <c r="AAS14" s="18"/>
      <c r="AAT14" s="18"/>
      <c r="AAU14" s="18"/>
      <c r="AAV14" s="18"/>
      <c r="AAW14" s="18"/>
      <c r="AAX14" s="18"/>
      <c r="AAY14" s="18"/>
      <c r="AAZ14" s="18"/>
      <c r="ABA14" s="18"/>
      <c r="ABB14" s="18"/>
      <c r="ABC14" s="18"/>
      <c r="ABD14" s="18"/>
      <c r="ABE14" s="18"/>
      <c r="ABF14" s="18"/>
      <c r="ABG14" s="18"/>
      <c r="ABH14" s="18"/>
      <c r="ABI14" s="18"/>
      <c r="ABJ14" s="18"/>
      <c r="ABK14" s="18"/>
      <c r="ABL14" s="18"/>
      <c r="ABM14" s="18"/>
      <c r="ABN14" s="18"/>
      <c r="ABO14" s="18"/>
      <c r="ABP14" s="18"/>
      <c r="ABQ14" s="18"/>
      <c r="ABR14" s="18"/>
      <c r="ABS14" s="18"/>
      <c r="ABT14" s="18"/>
      <c r="ABU14" s="18"/>
      <c r="ABV14" s="18"/>
      <c r="ABW14" s="18"/>
      <c r="ABX14" s="18"/>
      <c r="ABY14" s="18"/>
      <c r="ABZ14" s="18"/>
      <c r="ACA14" s="18"/>
      <c r="ACB14" s="18"/>
      <c r="ACC14" s="18"/>
      <c r="ACD14" s="18"/>
      <c r="ACE14" s="18"/>
      <c r="ACF14" s="18"/>
      <c r="ACG14" s="18"/>
      <c r="ACH14" s="18"/>
      <c r="ACI14" s="18"/>
      <c r="ACJ14" s="18"/>
      <c r="ACK14" s="18"/>
      <c r="ACL14" s="18"/>
      <c r="ACM14" s="18"/>
      <c r="ACN14" s="18"/>
      <c r="ACO14" s="18"/>
      <c r="ACP14" s="18"/>
      <c r="ACQ14" s="18"/>
      <c r="ACR14" s="18"/>
      <c r="ACS14" s="18"/>
      <c r="ACT14" s="18"/>
      <c r="ACU14" s="18"/>
      <c r="ACV14" s="18"/>
      <c r="ACW14" s="18"/>
      <c r="ACX14" s="18"/>
      <c r="ACY14" s="18"/>
      <c r="ACZ14" s="18"/>
      <c r="ADA14" s="18"/>
      <c r="ADB14" s="18"/>
      <c r="ADC14" s="18"/>
      <c r="ADD14" s="18"/>
      <c r="ADE14" s="18"/>
      <c r="ADF14" s="18"/>
      <c r="ADG14" s="18"/>
      <c r="ADH14" s="18"/>
      <c r="ADI14" s="18"/>
      <c r="ADJ14" s="18"/>
      <c r="ADK14" s="18"/>
      <c r="ADL14" s="18"/>
      <c r="ADM14" s="18"/>
      <c r="ADN14" s="18"/>
      <c r="ADO14" s="18"/>
      <c r="ADP14" s="18"/>
      <c r="ADQ14" s="18"/>
      <c r="ADR14" s="18"/>
      <c r="ADS14" s="18"/>
      <c r="ADT14" s="18"/>
      <c r="ADU14" s="18"/>
      <c r="ADV14" s="18"/>
      <c r="ADW14" s="18"/>
      <c r="ADX14" s="18"/>
      <c r="ADY14" s="18"/>
      <c r="ADZ14" s="18"/>
      <c r="AEA14" s="18"/>
      <c r="AEB14" s="18"/>
      <c r="AEC14" s="18"/>
      <c r="AED14" s="18"/>
      <c r="AEE14" s="18"/>
      <c r="AEF14" s="18"/>
      <c r="AEG14" s="18"/>
      <c r="AEH14" s="18"/>
      <c r="AEI14" s="18"/>
      <c r="AEJ14" s="18"/>
      <c r="AEK14" s="18"/>
      <c r="AEL14" s="18"/>
      <c r="AEM14" s="18"/>
      <c r="AEN14" s="18"/>
      <c r="AEO14" s="18"/>
      <c r="AEP14" s="18"/>
      <c r="AEQ14" s="18"/>
      <c r="AER14" s="18"/>
      <c r="AES14" s="18"/>
      <c r="AET14" s="18"/>
      <c r="AEU14" s="18"/>
      <c r="AEV14" s="18"/>
      <c r="AEW14" s="18"/>
      <c r="AEX14" s="18"/>
      <c r="AEY14" s="18"/>
      <c r="AEZ14" s="18"/>
      <c r="AFA14" s="18"/>
      <c r="AFB14" s="18"/>
      <c r="AFC14" s="18"/>
      <c r="AFD14" s="18"/>
      <c r="AFE14" s="18"/>
      <c r="AFF14" s="18"/>
      <c r="AFG14" s="18"/>
      <c r="AFH14" s="18"/>
      <c r="AFI14" s="18"/>
      <c r="AFJ14" s="18"/>
      <c r="AFK14" s="18"/>
      <c r="AFL14" s="18"/>
      <c r="AFM14" s="18"/>
      <c r="AFN14" s="18"/>
      <c r="AFO14" s="18"/>
      <c r="AFP14" s="18"/>
      <c r="AFQ14" s="18"/>
      <c r="AFR14" s="18"/>
      <c r="AFS14" s="18"/>
      <c r="AFT14" s="18"/>
      <c r="AFU14" s="18"/>
      <c r="AFV14" s="18"/>
      <c r="AFW14" s="18"/>
      <c r="AFX14" s="18"/>
      <c r="AFY14" s="18"/>
      <c r="AFZ14" s="18"/>
      <c r="AGA14" s="18"/>
      <c r="AGB14" s="18"/>
      <c r="AGC14" s="18"/>
      <c r="AGD14" s="18"/>
      <c r="AGE14" s="18"/>
      <c r="AGF14" s="18"/>
      <c r="AGG14" s="18"/>
      <c r="AGH14" s="18"/>
      <c r="AGI14" s="18"/>
      <c r="AGJ14" s="18"/>
      <c r="AGK14" s="18"/>
      <c r="AGL14" s="18"/>
      <c r="AGM14" s="18"/>
      <c r="AGN14" s="18"/>
      <c r="AGO14" s="18"/>
      <c r="AGP14" s="18"/>
      <c r="AGQ14" s="18"/>
      <c r="AGR14" s="18"/>
      <c r="AGS14" s="18"/>
      <c r="AGT14" s="18"/>
      <c r="AGU14" s="18"/>
      <c r="AGV14" s="18"/>
      <c r="AGW14" s="18"/>
      <c r="AGX14" s="18"/>
      <c r="AGY14" s="18"/>
      <c r="AGZ14" s="18"/>
      <c r="AHA14" s="18"/>
      <c r="AHB14" s="18"/>
      <c r="AHC14" s="18"/>
      <c r="AHD14" s="18"/>
      <c r="AHE14" s="18"/>
      <c r="AHF14" s="18"/>
      <c r="AHG14" s="18"/>
      <c r="AHH14" s="18"/>
      <c r="AHI14" s="18"/>
      <c r="AHJ14" s="18"/>
      <c r="AHK14" s="18"/>
      <c r="AHL14" s="18"/>
      <c r="AHM14" s="18"/>
      <c r="AHN14" s="18"/>
      <c r="AHO14" s="18"/>
      <c r="AHP14" s="18"/>
      <c r="AHQ14" s="18"/>
      <c r="AHR14" s="18"/>
      <c r="AHS14" s="18"/>
      <c r="AHT14" s="18"/>
      <c r="AHU14" s="18"/>
      <c r="AHV14" s="18"/>
      <c r="AHW14" s="18"/>
      <c r="AHX14" s="18"/>
      <c r="AHY14" s="18"/>
      <c r="AHZ14" s="18"/>
      <c r="AIA14" s="18"/>
      <c r="AIB14" s="18"/>
      <c r="AIC14" s="18"/>
      <c r="AID14" s="18"/>
      <c r="AIE14" s="18"/>
      <c r="AIF14" s="18"/>
      <c r="AIG14" s="18"/>
      <c r="AIH14" s="18"/>
      <c r="AII14" s="18"/>
      <c r="AIJ14" s="18"/>
      <c r="AIK14" s="18"/>
      <c r="AIL14" s="18"/>
      <c r="AIM14" s="18"/>
      <c r="AIN14" s="18"/>
      <c r="AIO14" s="18"/>
      <c r="AIP14" s="18"/>
      <c r="AIQ14" s="18"/>
      <c r="AIR14" s="18"/>
      <c r="AIS14" s="18"/>
      <c r="AIT14" s="18"/>
      <c r="AIU14" s="18"/>
      <c r="AIV14" s="18"/>
      <c r="AIW14" s="18"/>
      <c r="AIX14" s="18"/>
      <c r="AIY14" s="18"/>
      <c r="AIZ14" s="18"/>
      <c r="AJA14" s="18"/>
      <c r="AJB14" s="18"/>
      <c r="AJC14" s="18"/>
      <c r="AJD14" s="18"/>
      <c r="AJE14" s="18"/>
      <c r="AJF14" s="18"/>
      <c r="AJG14" s="18"/>
      <c r="AJH14" s="18"/>
      <c r="AJI14" s="18"/>
      <c r="AJJ14" s="18"/>
      <c r="AJK14" s="18"/>
      <c r="AJL14" s="18"/>
      <c r="AJM14" s="18"/>
      <c r="AJN14" s="18"/>
      <c r="AJO14" s="18"/>
      <c r="AJP14" s="18"/>
      <c r="AJQ14" s="18"/>
      <c r="AJR14" s="18"/>
      <c r="AJS14" s="18"/>
      <c r="AJT14" s="18"/>
      <c r="AJU14" s="18"/>
      <c r="AJV14" s="18"/>
      <c r="AJW14" s="18"/>
      <c r="AJX14" s="18"/>
      <c r="AJY14" s="18"/>
      <c r="AJZ14" s="18"/>
      <c r="AKA14" s="18"/>
      <c r="AKB14" s="18"/>
      <c r="AKC14" s="18"/>
      <c r="AKD14" s="18"/>
      <c r="AKE14" s="18"/>
      <c r="AKF14" s="18"/>
      <c r="AKG14" s="18"/>
      <c r="AKH14" s="18"/>
      <c r="AKI14" s="18"/>
      <c r="AKJ14" s="18"/>
      <c r="AKK14" s="18"/>
      <c r="AKL14" s="18"/>
      <c r="AKM14" s="18"/>
      <c r="AKN14" s="18"/>
      <c r="AKO14" s="18"/>
      <c r="AKP14" s="18"/>
      <c r="AKQ14" s="18"/>
      <c r="AKR14" s="18"/>
      <c r="AKS14" s="18"/>
      <c r="AKT14" s="18"/>
      <c r="AKU14" s="18"/>
      <c r="AKV14" s="18"/>
      <c r="AKW14" s="18"/>
      <c r="AKX14" s="18"/>
      <c r="AKY14" s="18"/>
      <c r="AKZ14" s="18"/>
      <c r="ALA14" s="18"/>
      <c r="ALB14" s="18"/>
      <c r="ALC14" s="18"/>
      <c r="ALD14" s="18"/>
      <c r="ALE14" s="18"/>
      <c r="ALF14" s="18"/>
      <c r="ALG14" s="18"/>
      <c r="ALH14" s="18"/>
      <c r="ALI14" s="18"/>
      <c r="ALJ14" s="18"/>
      <c r="ALK14" s="18"/>
      <c r="ALL14" s="18"/>
      <c r="ALM14" s="18"/>
      <c r="ALN14" s="18"/>
      <c r="ALO14" s="18"/>
      <c r="ALP14" s="18"/>
      <c r="ALQ14" s="18"/>
      <c r="ALR14" s="18"/>
      <c r="ALS14" s="18"/>
      <c r="ALT14" s="18"/>
      <c r="ALU14" s="18"/>
      <c r="ALV14" s="18"/>
      <c r="ALW14" s="18"/>
      <c r="ALX14" s="18"/>
      <c r="ALY14" s="18"/>
      <c r="ALZ14" s="18"/>
      <c r="AMA14" s="18"/>
      <c r="AMB14" s="18"/>
      <c r="AMC14" s="18"/>
      <c r="AMD14" s="18"/>
    </row>
    <row r="15" s="18" customFormat="true" ht="15" hidden="false" customHeight="true" outlineLevel="0" collapsed="false">
      <c r="B15" s="119" t="str">
        <f aca="false">'Base Novo Hamburgo'!B7</f>
        <v>GEX NOVO HAMBURGO</v>
      </c>
      <c r="C15" s="273" t="n">
        <f aca="false">VLOOKUP(B15,Unidades!$D$5:$G$35,4,)</f>
        <v>0.02</v>
      </c>
      <c r="D15" s="274" t="n">
        <f aca="false">'Base Novo Hamburgo'!AD7*12+'Base Novo Hamburgo'!AE7*4+'Base Novo Hamburgo'!AF7*2+'Base Novo Hamburgo'!AG7</f>
        <v>9580.10292031284</v>
      </c>
      <c r="E15" s="274" t="n">
        <f aca="false">'Base Novo Hamburgo'!AK7*12+'Base Novo Hamburgo'!AL7*4+'Base Novo Hamburgo'!AM7*2+'Base Novo Hamburgo'!AN7</f>
        <v>12173.4367808415</v>
      </c>
    </row>
    <row r="16" customFormat="false" ht="15" hidden="false" customHeight="true" outlineLevel="0" collapsed="false">
      <c r="A16" s="18"/>
      <c r="B16" s="119" t="str">
        <f aca="false">'Base Novo Hamburgo'!B8</f>
        <v>APS NOVO HAMBURGO</v>
      </c>
      <c r="C16" s="273" t="n">
        <f aca="false">VLOOKUP(B16,Unidades!$D$5:$G$35,4,)</f>
        <v>0.02</v>
      </c>
      <c r="D16" s="274" t="n">
        <f aca="false">'Base Novo Hamburgo'!AD8*12+'Base Novo Hamburgo'!AE8*4+'Base Novo Hamburgo'!AF8*2+'Base Novo Hamburgo'!AG8</f>
        <v>6495.42856881195</v>
      </c>
      <c r="E16" s="274" t="n">
        <f aca="false">'Base Novo Hamburgo'!AK8*12+'Base Novo Hamburgo'!AL8*4+'Base Novo Hamburgo'!AM8*2+'Base Novo Hamburgo'!AN8</f>
        <v>8253.74108238935</v>
      </c>
      <c r="IO16" s="18"/>
      <c r="IP16" s="18"/>
      <c r="IQ16" s="18"/>
      <c r="IR16" s="18"/>
      <c r="IS16" s="18"/>
      <c r="IT16" s="18"/>
      <c r="IU16" s="18"/>
      <c r="IV16" s="18"/>
      <c r="IW16" s="18"/>
      <c r="IX16" s="18"/>
      <c r="IY16" s="18"/>
      <c r="IZ16" s="18"/>
      <c r="JA16" s="18"/>
      <c r="JB16" s="18"/>
      <c r="JC16" s="18"/>
      <c r="JD16" s="18"/>
      <c r="JE16" s="18"/>
      <c r="JF16" s="18"/>
      <c r="JG16" s="18"/>
      <c r="JH16" s="18"/>
      <c r="JI16" s="18"/>
      <c r="JJ16" s="18"/>
      <c r="JK16" s="18"/>
      <c r="JL16" s="18"/>
      <c r="JM16" s="18"/>
      <c r="JN16" s="18"/>
      <c r="JO16" s="18"/>
      <c r="JP16" s="18"/>
      <c r="JQ16" s="18"/>
      <c r="JR16" s="18"/>
      <c r="JS16" s="18"/>
      <c r="JT16" s="18"/>
      <c r="JU16" s="18"/>
      <c r="JV16" s="18"/>
      <c r="JW16" s="18"/>
      <c r="JX16" s="18"/>
      <c r="JY16" s="18"/>
      <c r="JZ16" s="18"/>
      <c r="KA16" s="18"/>
      <c r="KB16" s="18"/>
      <c r="KC16" s="18"/>
      <c r="KD16" s="18"/>
      <c r="KE16" s="18"/>
      <c r="KF16" s="18"/>
      <c r="KG16" s="18"/>
      <c r="KH16" s="18"/>
      <c r="KI16" s="18"/>
      <c r="KJ16" s="18"/>
      <c r="KK16" s="18"/>
      <c r="KL16" s="18"/>
      <c r="KM16" s="18"/>
      <c r="KN16" s="18"/>
      <c r="KO16" s="18"/>
      <c r="KP16" s="18"/>
      <c r="KQ16" s="18"/>
      <c r="KR16" s="18"/>
      <c r="KS16" s="18"/>
      <c r="KT16" s="18"/>
      <c r="KU16" s="18"/>
      <c r="KV16" s="18"/>
      <c r="KW16" s="18"/>
      <c r="KX16" s="18"/>
      <c r="KY16" s="18"/>
      <c r="KZ16" s="18"/>
      <c r="LA16" s="18"/>
      <c r="LB16" s="18"/>
      <c r="LC16" s="18"/>
      <c r="LD16" s="18"/>
      <c r="LE16" s="18"/>
      <c r="LF16" s="18"/>
      <c r="LG16" s="18"/>
      <c r="LH16" s="18"/>
      <c r="LI16" s="18"/>
      <c r="LJ16" s="18"/>
      <c r="LK16" s="18"/>
      <c r="LL16" s="18"/>
      <c r="LM16" s="18"/>
      <c r="LN16" s="18"/>
      <c r="LO16" s="18"/>
      <c r="LP16" s="18"/>
      <c r="LQ16" s="18"/>
      <c r="LR16" s="18"/>
      <c r="LS16" s="18"/>
      <c r="LT16" s="18"/>
      <c r="LU16" s="18"/>
      <c r="LV16" s="18"/>
      <c r="LW16" s="18"/>
      <c r="LX16" s="18"/>
      <c r="LY16" s="18"/>
      <c r="LZ16" s="18"/>
      <c r="MA16" s="18"/>
      <c r="MB16" s="18"/>
      <c r="MC16" s="18"/>
      <c r="MD16" s="18"/>
      <c r="ME16" s="18"/>
      <c r="MF16" s="18"/>
      <c r="MG16" s="18"/>
      <c r="MH16" s="18"/>
      <c r="MI16" s="18"/>
      <c r="MJ16" s="18"/>
      <c r="MK16" s="18"/>
      <c r="ML16" s="18"/>
      <c r="MM16" s="18"/>
      <c r="MN16" s="18"/>
      <c r="MO16" s="18"/>
      <c r="MP16" s="18"/>
      <c r="MQ16" s="18"/>
      <c r="MR16" s="18"/>
      <c r="MS16" s="18"/>
      <c r="MT16" s="18"/>
      <c r="MU16" s="18"/>
      <c r="MV16" s="18"/>
      <c r="MW16" s="18"/>
      <c r="MX16" s="18"/>
      <c r="MY16" s="18"/>
      <c r="MZ16" s="18"/>
      <c r="NA16" s="18"/>
      <c r="NB16" s="18"/>
      <c r="NC16" s="18"/>
      <c r="ND16" s="18"/>
      <c r="NE16" s="18"/>
      <c r="NF16" s="18"/>
      <c r="NG16" s="18"/>
      <c r="NH16" s="18"/>
      <c r="NI16" s="18"/>
      <c r="NJ16" s="18"/>
      <c r="NK16" s="18"/>
      <c r="NL16" s="18"/>
      <c r="NM16" s="18"/>
      <c r="NN16" s="18"/>
      <c r="NO16" s="18"/>
      <c r="NP16" s="18"/>
      <c r="NQ16" s="18"/>
      <c r="NR16" s="18"/>
      <c r="NS16" s="18"/>
      <c r="NT16" s="18"/>
      <c r="NU16" s="18"/>
      <c r="NV16" s="18"/>
      <c r="NW16" s="18"/>
      <c r="NX16" s="18"/>
      <c r="NY16" s="18"/>
      <c r="NZ16" s="18"/>
      <c r="OA16" s="18"/>
      <c r="OB16" s="18"/>
      <c r="OC16" s="18"/>
      <c r="OD16" s="18"/>
      <c r="OE16" s="18"/>
      <c r="OF16" s="18"/>
      <c r="OG16" s="18"/>
      <c r="OH16" s="18"/>
      <c r="OI16" s="18"/>
      <c r="OJ16" s="18"/>
      <c r="OK16" s="18"/>
      <c r="OL16" s="18"/>
      <c r="OM16" s="18"/>
      <c r="ON16" s="18"/>
      <c r="OO16" s="18"/>
      <c r="OP16" s="18"/>
      <c r="OQ16" s="18"/>
      <c r="OR16" s="18"/>
      <c r="OS16" s="18"/>
      <c r="OT16" s="18"/>
      <c r="OU16" s="18"/>
      <c r="OV16" s="18"/>
      <c r="OW16" s="18"/>
      <c r="OX16" s="18"/>
      <c r="OY16" s="18"/>
      <c r="OZ16" s="18"/>
      <c r="PA16" s="18"/>
      <c r="PB16" s="18"/>
      <c r="PC16" s="18"/>
      <c r="PD16" s="18"/>
      <c r="PE16" s="18"/>
      <c r="PF16" s="18"/>
      <c r="PG16" s="18"/>
      <c r="PH16" s="18"/>
      <c r="PI16" s="18"/>
      <c r="PJ16" s="18"/>
      <c r="PK16" s="18"/>
      <c r="PL16" s="18"/>
      <c r="PM16" s="18"/>
      <c r="PN16" s="18"/>
      <c r="PO16" s="18"/>
      <c r="PP16" s="18"/>
      <c r="PQ16" s="18"/>
      <c r="PR16" s="18"/>
      <c r="PS16" s="18"/>
      <c r="PT16" s="18"/>
      <c r="PU16" s="18"/>
      <c r="PV16" s="18"/>
      <c r="PW16" s="18"/>
      <c r="PX16" s="18"/>
      <c r="PY16" s="18"/>
      <c r="PZ16" s="18"/>
      <c r="QA16" s="18"/>
      <c r="QB16" s="18"/>
      <c r="QC16" s="18"/>
      <c r="QD16" s="18"/>
      <c r="QE16" s="18"/>
      <c r="QF16" s="18"/>
      <c r="QG16" s="18"/>
      <c r="QH16" s="18"/>
      <c r="QI16" s="18"/>
      <c r="QJ16" s="18"/>
      <c r="QK16" s="18"/>
      <c r="QL16" s="18"/>
      <c r="QM16" s="18"/>
      <c r="QN16" s="18"/>
      <c r="QO16" s="18"/>
      <c r="QP16" s="18"/>
      <c r="QQ16" s="18"/>
      <c r="QR16" s="18"/>
      <c r="QS16" s="18"/>
      <c r="QT16" s="18"/>
      <c r="QU16" s="18"/>
      <c r="QV16" s="18"/>
      <c r="QW16" s="18"/>
      <c r="QX16" s="18"/>
      <c r="QY16" s="18"/>
      <c r="QZ16" s="18"/>
      <c r="RA16" s="18"/>
      <c r="RB16" s="18"/>
      <c r="RC16" s="18"/>
      <c r="RD16" s="18"/>
      <c r="RE16" s="18"/>
      <c r="RF16" s="18"/>
      <c r="RG16" s="18"/>
      <c r="RH16" s="18"/>
      <c r="RI16" s="18"/>
      <c r="RJ16" s="18"/>
      <c r="RK16" s="18"/>
      <c r="RL16" s="18"/>
      <c r="RM16" s="18"/>
      <c r="RN16" s="18"/>
      <c r="RO16" s="18"/>
      <c r="RP16" s="18"/>
      <c r="RQ16" s="18"/>
      <c r="RR16" s="18"/>
      <c r="RS16" s="18"/>
      <c r="RT16" s="18"/>
      <c r="RU16" s="18"/>
      <c r="RV16" s="18"/>
      <c r="RW16" s="18"/>
      <c r="RX16" s="18"/>
      <c r="RY16" s="18"/>
      <c r="RZ16" s="18"/>
      <c r="SA16" s="18"/>
      <c r="SB16" s="18"/>
      <c r="SC16" s="18"/>
      <c r="SD16" s="18"/>
      <c r="SE16" s="18"/>
      <c r="SF16" s="18"/>
      <c r="SG16" s="18"/>
      <c r="SH16" s="18"/>
      <c r="SI16" s="18"/>
      <c r="SJ16" s="18"/>
      <c r="SK16" s="18"/>
      <c r="SL16" s="18"/>
      <c r="SM16" s="18"/>
      <c r="SN16" s="18"/>
      <c r="SO16" s="18"/>
      <c r="SP16" s="18"/>
      <c r="SQ16" s="18"/>
      <c r="SR16" s="18"/>
      <c r="SS16" s="18"/>
      <c r="ST16" s="18"/>
      <c r="SU16" s="18"/>
      <c r="SV16" s="18"/>
      <c r="SW16" s="18"/>
      <c r="SX16" s="18"/>
      <c r="SY16" s="18"/>
      <c r="SZ16" s="18"/>
      <c r="TA16" s="18"/>
      <c r="TB16" s="18"/>
      <c r="TC16" s="18"/>
      <c r="TD16" s="18"/>
      <c r="TE16" s="18"/>
      <c r="TF16" s="18"/>
      <c r="TG16" s="18"/>
      <c r="TH16" s="18"/>
      <c r="TI16" s="18"/>
      <c r="TJ16" s="18"/>
      <c r="TK16" s="18"/>
      <c r="TL16" s="18"/>
      <c r="TM16" s="18"/>
      <c r="TN16" s="18"/>
      <c r="TO16" s="18"/>
      <c r="TP16" s="18"/>
      <c r="TQ16" s="18"/>
      <c r="TR16" s="18"/>
      <c r="TS16" s="18"/>
      <c r="TT16" s="18"/>
      <c r="TU16" s="18"/>
      <c r="TV16" s="18"/>
      <c r="TW16" s="18"/>
      <c r="TX16" s="18"/>
      <c r="TY16" s="18"/>
      <c r="TZ16" s="18"/>
      <c r="UA16" s="18"/>
      <c r="UB16" s="18"/>
      <c r="UC16" s="18"/>
      <c r="UD16" s="18"/>
      <c r="UE16" s="18"/>
      <c r="UF16" s="18"/>
      <c r="UG16" s="18"/>
      <c r="UH16" s="18"/>
      <c r="UI16" s="18"/>
      <c r="UJ16" s="18"/>
      <c r="UK16" s="18"/>
      <c r="UL16" s="18"/>
      <c r="UM16" s="18"/>
      <c r="UN16" s="18"/>
      <c r="UO16" s="18"/>
      <c r="UP16" s="18"/>
      <c r="UQ16" s="18"/>
      <c r="UR16" s="18"/>
      <c r="US16" s="18"/>
      <c r="UT16" s="18"/>
      <c r="UU16" s="18"/>
      <c r="UV16" s="18"/>
      <c r="UW16" s="18"/>
      <c r="UX16" s="18"/>
      <c r="UY16" s="18"/>
      <c r="UZ16" s="18"/>
      <c r="VA16" s="18"/>
      <c r="VB16" s="18"/>
      <c r="VC16" s="18"/>
      <c r="VD16" s="18"/>
      <c r="VE16" s="18"/>
      <c r="VF16" s="18"/>
      <c r="VG16" s="18"/>
      <c r="VH16" s="18"/>
      <c r="VI16" s="18"/>
      <c r="VJ16" s="18"/>
      <c r="VK16" s="18"/>
      <c r="VL16" s="18"/>
      <c r="VM16" s="18"/>
      <c r="VN16" s="18"/>
      <c r="VO16" s="18"/>
      <c r="VP16" s="18"/>
      <c r="VQ16" s="18"/>
      <c r="VR16" s="18"/>
      <c r="VS16" s="18"/>
      <c r="VT16" s="18"/>
      <c r="VU16" s="18"/>
      <c r="VV16" s="18"/>
      <c r="VW16" s="18"/>
      <c r="VX16" s="18"/>
      <c r="VY16" s="18"/>
      <c r="VZ16" s="18"/>
      <c r="WA16" s="18"/>
      <c r="WB16" s="18"/>
      <c r="WC16" s="18"/>
      <c r="WD16" s="18"/>
      <c r="WE16" s="18"/>
      <c r="WF16" s="18"/>
      <c r="WG16" s="18"/>
      <c r="WH16" s="18"/>
      <c r="WI16" s="18"/>
      <c r="WJ16" s="18"/>
      <c r="WK16" s="18"/>
      <c r="WL16" s="18"/>
      <c r="WM16" s="18"/>
      <c r="WN16" s="18"/>
      <c r="WO16" s="18"/>
      <c r="WP16" s="18"/>
      <c r="WQ16" s="18"/>
      <c r="WR16" s="18"/>
      <c r="WS16" s="18"/>
      <c r="WT16" s="18"/>
      <c r="WU16" s="18"/>
      <c r="WV16" s="18"/>
      <c r="WW16" s="18"/>
      <c r="WX16" s="18"/>
      <c r="WY16" s="18"/>
      <c r="WZ16" s="18"/>
      <c r="XA16" s="18"/>
      <c r="XB16" s="18"/>
      <c r="XC16" s="18"/>
      <c r="XD16" s="18"/>
      <c r="XE16" s="18"/>
      <c r="XF16" s="18"/>
      <c r="XG16" s="18"/>
      <c r="XH16" s="18"/>
      <c r="XI16" s="18"/>
      <c r="XJ16" s="18"/>
      <c r="XK16" s="18"/>
      <c r="XL16" s="18"/>
      <c r="XM16" s="18"/>
      <c r="XN16" s="18"/>
      <c r="XO16" s="18"/>
      <c r="XP16" s="18"/>
      <c r="XQ16" s="18"/>
      <c r="XR16" s="18"/>
      <c r="XS16" s="18"/>
      <c r="XT16" s="18"/>
      <c r="XU16" s="18"/>
      <c r="XV16" s="18"/>
      <c r="XW16" s="18"/>
      <c r="XX16" s="18"/>
      <c r="XY16" s="18"/>
      <c r="XZ16" s="18"/>
      <c r="YA16" s="18"/>
      <c r="YB16" s="18"/>
      <c r="YC16" s="18"/>
      <c r="YD16" s="18"/>
      <c r="YE16" s="18"/>
      <c r="YF16" s="18"/>
      <c r="YG16" s="18"/>
      <c r="YH16" s="18"/>
      <c r="YI16" s="18"/>
      <c r="YJ16" s="18"/>
      <c r="YK16" s="18"/>
      <c r="YL16" s="18"/>
      <c r="YM16" s="18"/>
      <c r="YN16" s="18"/>
      <c r="YO16" s="18"/>
      <c r="YP16" s="18"/>
      <c r="YQ16" s="18"/>
      <c r="YR16" s="18"/>
      <c r="YS16" s="18"/>
      <c r="YT16" s="18"/>
      <c r="YU16" s="18"/>
      <c r="YV16" s="18"/>
      <c r="YW16" s="18"/>
      <c r="YX16" s="18"/>
      <c r="YY16" s="18"/>
      <c r="YZ16" s="18"/>
      <c r="ZA16" s="18"/>
      <c r="ZB16" s="18"/>
      <c r="ZC16" s="18"/>
      <c r="ZD16" s="18"/>
      <c r="ZE16" s="18"/>
      <c r="ZF16" s="18"/>
      <c r="ZG16" s="18"/>
      <c r="ZH16" s="18"/>
      <c r="ZI16" s="18"/>
      <c r="ZJ16" s="18"/>
      <c r="ZK16" s="18"/>
      <c r="ZL16" s="18"/>
      <c r="ZM16" s="18"/>
      <c r="ZN16" s="18"/>
      <c r="ZO16" s="18"/>
      <c r="ZP16" s="18"/>
      <c r="ZQ16" s="18"/>
      <c r="ZR16" s="18"/>
      <c r="ZS16" s="18"/>
      <c r="ZT16" s="18"/>
      <c r="ZU16" s="18"/>
      <c r="ZV16" s="18"/>
      <c r="ZW16" s="18"/>
      <c r="ZX16" s="18"/>
      <c r="ZY16" s="18"/>
      <c r="ZZ16" s="18"/>
      <c r="AAA16" s="18"/>
      <c r="AAB16" s="18"/>
      <c r="AAC16" s="18"/>
      <c r="AAD16" s="18"/>
      <c r="AAE16" s="18"/>
      <c r="AAF16" s="18"/>
      <c r="AAG16" s="18"/>
      <c r="AAH16" s="18"/>
      <c r="AAI16" s="18"/>
      <c r="AAJ16" s="18"/>
      <c r="AAK16" s="18"/>
      <c r="AAL16" s="18"/>
      <c r="AAM16" s="18"/>
      <c r="AAN16" s="18"/>
      <c r="AAO16" s="18"/>
      <c r="AAP16" s="18"/>
      <c r="AAQ16" s="18"/>
      <c r="AAR16" s="18"/>
      <c r="AAS16" s="18"/>
      <c r="AAT16" s="18"/>
      <c r="AAU16" s="18"/>
      <c r="AAV16" s="18"/>
      <c r="AAW16" s="18"/>
      <c r="AAX16" s="18"/>
      <c r="AAY16" s="18"/>
      <c r="AAZ16" s="18"/>
      <c r="ABA16" s="18"/>
      <c r="ABB16" s="18"/>
      <c r="ABC16" s="18"/>
      <c r="ABD16" s="18"/>
      <c r="ABE16" s="18"/>
      <c r="ABF16" s="18"/>
      <c r="ABG16" s="18"/>
      <c r="ABH16" s="18"/>
      <c r="ABI16" s="18"/>
      <c r="ABJ16" s="18"/>
      <c r="ABK16" s="18"/>
      <c r="ABL16" s="18"/>
      <c r="ABM16" s="18"/>
      <c r="ABN16" s="18"/>
      <c r="ABO16" s="18"/>
      <c r="ABP16" s="18"/>
      <c r="ABQ16" s="18"/>
      <c r="ABR16" s="18"/>
      <c r="ABS16" s="18"/>
      <c r="ABT16" s="18"/>
      <c r="ABU16" s="18"/>
      <c r="ABV16" s="18"/>
      <c r="ABW16" s="18"/>
      <c r="ABX16" s="18"/>
      <c r="ABY16" s="18"/>
      <c r="ABZ16" s="18"/>
      <c r="ACA16" s="18"/>
      <c r="ACB16" s="18"/>
      <c r="ACC16" s="18"/>
      <c r="ACD16" s="18"/>
      <c r="ACE16" s="18"/>
      <c r="ACF16" s="18"/>
      <c r="ACG16" s="18"/>
      <c r="ACH16" s="18"/>
      <c r="ACI16" s="18"/>
      <c r="ACJ16" s="18"/>
      <c r="ACK16" s="18"/>
      <c r="ACL16" s="18"/>
      <c r="ACM16" s="18"/>
      <c r="ACN16" s="18"/>
      <c r="ACO16" s="18"/>
      <c r="ACP16" s="18"/>
      <c r="ACQ16" s="18"/>
      <c r="ACR16" s="18"/>
      <c r="ACS16" s="18"/>
      <c r="ACT16" s="18"/>
      <c r="ACU16" s="18"/>
      <c r="ACV16" s="18"/>
      <c r="ACW16" s="18"/>
      <c r="ACX16" s="18"/>
      <c r="ACY16" s="18"/>
      <c r="ACZ16" s="18"/>
      <c r="ADA16" s="18"/>
      <c r="ADB16" s="18"/>
      <c r="ADC16" s="18"/>
      <c r="ADD16" s="18"/>
      <c r="ADE16" s="18"/>
      <c r="ADF16" s="18"/>
      <c r="ADG16" s="18"/>
      <c r="ADH16" s="18"/>
      <c r="ADI16" s="18"/>
      <c r="ADJ16" s="18"/>
      <c r="ADK16" s="18"/>
      <c r="ADL16" s="18"/>
      <c r="ADM16" s="18"/>
      <c r="ADN16" s="18"/>
      <c r="ADO16" s="18"/>
      <c r="ADP16" s="18"/>
      <c r="ADQ16" s="18"/>
      <c r="ADR16" s="18"/>
      <c r="ADS16" s="18"/>
      <c r="ADT16" s="18"/>
      <c r="ADU16" s="18"/>
      <c r="ADV16" s="18"/>
      <c r="ADW16" s="18"/>
      <c r="ADX16" s="18"/>
      <c r="ADY16" s="18"/>
      <c r="ADZ16" s="18"/>
      <c r="AEA16" s="18"/>
      <c r="AEB16" s="18"/>
      <c r="AEC16" s="18"/>
      <c r="AED16" s="18"/>
      <c r="AEE16" s="18"/>
      <c r="AEF16" s="18"/>
      <c r="AEG16" s="18"/>
      <c r="AEH16" s="18"/>
      <c r="AEI16" s="18"/>
      <c r="AEJ16" s="18"/>
      <c r="AEK16" s="18"/>
      <c r="AEL16" s="18"/>
      <c r="AEM16" s="18"/>
      <c r="AEN16" s="18"/>
      <c r="AEO16" s="18"/>
      <c r="AEP16" s="18"/>
      <c r="AEQ16" s="18"/>
      <c r="AER16" s="18"/>
      <c r="AES16" s="18"/>
      <c r="AET16" s="18"/>
      <c r="AEU16" s="18"/>
      <c r="AEV16" s="18"/>
      <c r="AEW16" s="18"/>
      <c r="AEX16" s="18"/>
      <c r="AEY16" s="18"/>
      <c r="AEZ16" s="18"/>
      <c r="AFA16" s="18"/>
      <c r="AFB16" s="18"/>
      <c r="AFC16" s="18"/>
      <c r="AFD16" s="18"/>
      <c r="AFE16" s="18"/>
      <c r="AFF16" s="18"/>
      <c r="AFG16" s="18"/>
      <c r="AFH16" s="18"/>
      <c r="AFI16" s="18"/>
      <c r="AFJ16" s="18"/>
      <c r="AFK16" s="18"/>
      <c r="AFL16" s="18"/>
      <c r="AFM16" s="18"/>
      <c r="AFN16" s="18"/>
      <c r="AFO16" s="18"/>
      <c r="AFP16" s="18"/>
      <c r="AFQ16" s="18"/>
      <c r="AFR16" s="18"/>
      <c r="AFS16" s="18"/>
      <c r="AFT16" s="18"/>
      <c r="AFU16" s="18"/>
      <c r="AFV16" s="18"/>
      <c r="AFW16" s="18"/>
      <c r="AFX16" s="18"/>
      <c r="AFY16" s="18"/>
      <c r="AFZ16" s="18"/>
      <c r="AGA16" s="18"/>
      <c r="AGB16" s="18"/>
      <c r="AGC16" s="18"/>
      <c r="AGD16" s="18"/>
      <c r="AGE16" s="18"/>
      <c r="AGF16" s="18"/>
      <c r="AGG16" s="18"/>
      <c r="AGH16" s="18"/>
      <c r="AGI16" s="18"/>
      <c r="AGJ16" s="18"/>
      <c r="AGK16" s="18"/>
      <c r="AGL16" s="18"/>
      <c r="AGM16" s="18"/>
      <c r="AGN16" s="18"/>
      <c r="AGO16" s="18"/>
      <c r="AGP16" s="18"/>
      <c r="AGQ16" s="18"/>
      <c r="AGR16" s="18"/>
      <c r="AGS16" s="18"/>
      <c r="AGT16" s="18"/>
      <c r="AGU16" s="18"/>
      <c r="AGV16" s="18"/>
      <c r="AGW16" s="18"/>
      <c r="AGX16" s="18"/>
      <c r="AGY16" s="18"/>
      <c r="AGZ16" s="18"/>
      <c r="AHA16" s="18"/>
      <c r="AHB16" s="18"/>
      <c r="AHC16" s="18"/>
      <c r="AHD16" s="18"/>
      <c r="AHE16" s="18"/>
      <c r="AHF16" s="18"/>
      <c r="AHG16" s="18"/>
      <c r="AHH16" s="18"/>
      <c r="AHI16" s="18"/>
      <c r="AHJ16" s="18"/>
      <c r="AHK16" s="18"/>
      <c r="AHL16" s="18"/>
      <c r="AHM16" s="18"/>
      <c r="AHN16" s="18"/>
      <c r="AHO16" s="18"/>
      <c r="AHP16" s="18"/>
      <c r="AHQ16" s="18"/>
      <c r="AHR16" s="18"/>
      <c r="AHS16" s="18"/>
      <c r="AHT16" s="18"/>
      <c r="AHU16" s="18"/>
      <c r="AHV16" s="18"/>
      <c r="AHW16" s="18"/>
      <c r="AHX16" s="18"/>
      <c r="AHY16" s="18"/>
      <c r="AHZ16" s="18"/>
      <c r="AIA16" s="18"/>
      <c r="AIB16" s="18"/>
      <c r="AIC16" s="18"/>
      <c r="AID16" s="18"/>
      <c r="AIE16" s="18"/>
      <c r="AIF16" s="18"/>
      <c r="AIG16" s="18"/>
      <c r="AIH16" s="18"/>
      <c r="AII16" s="18"/>
      <c r="AIJ16" s="18"/>
      <c r="AIK16" s="18"/>
      <c r="AIL16" s="18"/>
      <c r="AIM16" s="18"/>
      <c r="AIN16" s="18"/>
      <c r="AIO16" s="18"/>
      <c r="AIP16" s="18"/>
      <c r="AIQ16" s="18"/>
      <c r="AIR16" s="18"/>
      <c r="AIS16" s="18"/>
      <c r="AIT16" s="18"/>
      <c r="AIU16" s="18"/>
      <c r="AIV16" s="18"/>
      <c r="AIW16" s="18"/>
      <c r="AIX16" s="18"/>
      <c r="AIY16" s="18"/>
      <c r="AIZ16" s="18"/>
      <c r="AJA16" s="18"/>
      <c r="AJB16" s="18"/>
      <c r="AJC16" s="18"/>
      <c r="AJD16" s="18"/>
      <c r="AJE16" s="18"/>
      <c r="AJF16" s="18"/>
      <c r="AJG16" s="18"/>
      <c r="AJH16" s="18"/>
      <c r="AJI16" s="18"/>
      <c r="AJJ16" s="18"/>
      <c r="AJK16" s="18"/>
      <c r="AJL16" s="18"/>
      <c r="AJM16" s="18"/>
      <c r="AJN16" s="18"/>
      <c r="AJO16" s="18"/>
      <c r="AJP16" s="18"/>
      <c r="AJQ16" s="18"/>
      <c r="AJR16" s="18"/>
      <c r="AJS16" s="18"/>
      <c r="AJT16" s="18"/>
      <c r="AJU16" s="18"/>
      <c r="AJV16" s="18"/>
      <c r="AJW16" s="18"/>
      <c r="AJX16" s="18"/>
      <c r="AJY16" s="18"/>
      <c r="AJZ16" s="18"/>
      <c r="AKA16" s="18"/>
      <c r="AKB16" s="18"/>
      <c r="AKC16" s="18"/>
      <c r="AKD16" s="18"/>
      <c r="AKE16" s="18"/>
      <c r="AKF16" s="18"/>
      <c r="AKG16" s="18"/>
      <c r="AKH16" s="18"/>
      <c r="AKI16" s="18"/>
      <c r="AKJ16" s="18"/>
      <c r="AKK16" s="18"/>
      <c r="AKL16" s="18"/>
      <c r="AKM16" s="18"/>
      <c r="AKN16" s="18"/>
      <c r="AKO16" s="18"/>
      <c r="AKP16" s="18"/>
      <c r="AKQ16" s="18"/>
      <c r="AKR16" s="18"/>
      <c r="AKS16" s="18"/>
      <c r="AKT16" s="18"/>
      <c r="AKU16" s="18"/>
      <c r="AKV16" s="18"/>
      <c r="AKW16" s="18"/>
      <c r="AKX16" s="18"/>
      <c r="AKY16" s="18"/>
      <c r="AKZ16" s="18"/>
      <c r="ALA16" s="18"/>
      <c r="ALB16" s="18"/>
      <c r="ALC16" s="18"/>
      <c r="ALD16" s="18"/>
      <c r="ALE16" s="18"/>
      <c r="ALF16" s="18"/>
      <c r="ALG16" s="18"/>
      <c r="ALH16" s="18"/>
      <c r="ALI16" s="18"/>
      <c r="ALJ16" s="18"/>
      <c r="ALK16" s="18"/>
      <c r="ALL16" s="18"/>
      <c r="ALM16" s="18"/>
      <c r="ALN16" s="18"/>
      <c r="ALO16" s="18"/>
      <c r="ALP16" s="18"/>
      <c r="ALQ16" s="18"/>
      <c r="ALR16" s="18"/>
      <c r="ALS16" s="18"/>
      <c r="ALT16" s="18"/>
      <c r="ALU16" s="18"/>
      <c r="ALV16" s="18"/>
      <c r="ALW16" s="18"/>
      <c r="ALX16" s="18"/>
      <c r="ALY16" s="18"/>
      <c r="ALZ16" s="18"/>
      <c r="AMA16" s="18"/>
      <c r="AMB16" s="18"/>
      <c r="AMC16" s="18"/>
      <c r="AMD16" s="18"/>
    </row>
    <row r="17" customFormat="false" ht="15" hidden="false" customHeight="true" outlineLevel="0" collapsed="false">
      <c r="A17" s="18"/>
      <c r="B17" s="119" t="str">
        <f aca="false">'Base Novo Hamburgo'!B9</f>
        <v>APS CAMPO BOM</v>
      </c>
      <c r="C17" s="273" t="n">
        <f aca="false">VLOOKUP(B17,Unidades!$D$5:$G$35,4,)</f>
        <v>0.02</v>
      </c>
      <c r="D17" s="274" t="n">
        <f aca="false">'Base Novo Hamburgo'!AD9*12+'Base Novo Hamburgo'!AE9*4+'Base Novo Hamburgo'!AF9*2+'Base Novo Hamburgo'!AG9</f>
        <v>7601.04747123211</v>
      </c>
      <c r="E17" s="274" t="n">
        <f aca="false">'Base Novo Hamburgo'!AK9*12+'Base Novo Hamburgo'!AL9*4+'Base Novo Hamburgo'!AM9*2+'Base Novo Hamburgo'!AN9</f>
        <v>9658.65102169464</v>
      </c>
      <c r="IO17" s="18"/>
      <c r="IP17" s="18"/>
      <c r="IQ17" s="18"/>
      <c r="IR17" s="18"/>
      <c r="IS17" s="18"/>
      <c r="IT17" s="18"/>
      <c r="IU17" s="18"/>
      <c r="IV17" s="18"/>
      <c r="IW17" s="18"/>
      <c r="IX17" s="18"/>
      <c r="IY17" s="18"/>
      <c r="IZ17" s="18"/>
      <c r="JA17" s="18"/>
      <c r="JB17" s="18"/>
      <c r="JC17" s="18"/>
      <c r="JD17" s="18"/>
      <c r="JE17" s="18"/>
      <c r="JF17" s="18"/>
      <c r="JG17" s="18"/>
      <c r="JH17" s="18"/>
      <c r="JI17" s="18"/>
      <c r="JJ17" s="18"/>
      <c r="JK17" s="18"/>
      <c r="JL17" s="18"/>
      <c r="JM17" s="18"/>
      <c r="JN17" s="18"/>
      <c r="JO17" s="18"/>
      <c r="JP17" s="18"/>
      <c r="JQ17" s="18"/>
      <c r="JR17" s="18"/>
      <c r="JS17" s="18"/>
      <c r="JT17" s="18"/>
      <c r="JU17" s="18"/>
      <c r="JV17" s="18"/>
      <c r="JW17" s="18"/>
      <c r="JX17" s="18"/>
      <c r="JY17" s="18"/>
      <c r="JZ17" s="18"/>
      <c r="KA17" s="18"/>
      <c r="KB17" s="18"/>
      <c r="KC17" s="18"/>
      <c r="KD17" s="18"/>
      <c r="KE17" s="18"/>
      <c r="KF17" s="18"/>
      <c r="KG17" s="18"/>
      <c r="KH17" s="18"/>
      <c r="KI17" s="18"/>
      <c r="KJ17" s="18"/>
      <c r="KK17" s="18"/>
      <c r="KL17" s="18"/>
      <c r="KM17" s="18"/>
      <c r="KN17" s="18"/>
      <c r="KO17" s="18"/>
      <c r="KP17" s="18"/>
      <c r="KQ17" s="18"/>
      <c r="KR17" s="18"/>
      <c r="KS17" s="18"/>
      <c r="KT17" s="18"/>
      <c r="KU17" s="18"/>
      <c r="KV17" s="18"/>
      <c r="KW17" s="18"/>
      <c r="KX17" s="18"/>
      <c r="KY17" s="18"/>
      <c r="KZ17" s="18"/>
      <c r="LA17" s="18"/>
      <c r="LB17" s="18"/>
      <c r="LC17" s="18"/>
      <c r="LD17" s="18"/>
      <c r="LE17" s="18"/>
      <c r="LF17" s="18"/>
      <c r="LG17" s="18"/>
      <c r="LH17" s="18"/>
      <c r="LI17" s="18"/>
      <c r="LJ17" s="18"/>
      <c r="LK17" s="18"/>
      <c r="LL17" s="18"/>
      <c r="LM17" s="18"/>
      <c r="LN17" s="18"/>
      <c r="LO17" s="18"/>
      <c r="LP17" s="18"/>
      <c r="LQ17" s="18"/>
      <c r="LR17" s="18"/>
      <c r="LS17" s="18"/>
      <c r="LT17" s="18"/>
      <c r="LU17" s="18"/>
      <c r="LV17" s="18"/>
      <c r="LW17" s="18"/>
      <c r="LX17" s="18"/>
      <c r="LY17" s="18"/>
      <c r="LZ17" s="18"/>
      <c r="MA17" s="18"/>
      <c r="MB17" s="18"/>
      <c r="MC17" s="18"/>
      <c r="MD17" s="18"/>
      <c r="ME17" s="18"/>
      <c r="MF17" s="18"/>
      <c r="MG17" s="18"/>
      <c r="MH17" s="18"/>
      <c r="MI17" s="18"/>
      <c r="MJ17" s="18"/>
      <c r="MK17" s="18"/>
      <c r="ML17" s="18"/>
      <c r="MM17" s="18"/>
      <c r="MN17" s="18"/>
      <c r="MO17" s="18"/>
      <c r="MP17" s="18"/>
      <c r="MQ17" s="18"/>
      <c r="MR17" s="18"/>
      <c r="MS17" s="18"/>
      <c r="MT17" s="18"/>
      <c r="MU17" s="18"/>
      <c r="MV17" s="18"/>
      <c r="MW17" s="18"/>
      <c r="MX17" s="18"/>
      <c r="MY17" s="18"/>
      <c r="MZ17" s="18"/>
      <c r="NA17" s="18"/>
      <c r="NB17" s="18"/>
      <c r="NC17" s="18"/>
      <c r="ND17" s="18"/>
      <c r="NE17" s="18"/>
      <c r="NF17" s="18"/>
      <c r="NG17" s="18"/>
      <c r="NH17" s="18"/>
      <c r="NI17" s="18"/>
      <c r="NJ17" s="18"/>
      <c r="NK17" s="18"/>
      <c r="NL17" s="18"/>
      <c r="NM17" s="18"/>
      <c r="NN17" s="18"/>
      <c r="NO17" s="18"/>
      <c r="NP17" s="18"/>
      <c r="NQ17" s="18"/>
      <c r="NR17" s="18"/>
      <c r="NS17" s="18"/>
      <c r="NT17" s="18"/>
      <c r="NU17" s="18"/>
      <c r="NV17" s="18"/>
      <c r="NW17" s="18"/>
      <c r="NX17" s="18"/>
      <c r="NY17" s="18"/>
      <c r="NZ17" s="18"/>
      <c r="OA17" s="18"/>
      <c r="OB17" s="18"/>
      <c r="OC17" s="18"/>
      <c r="OD17" s="18"/>
      <c r="OE17" s="18"/>
      <c r="OF17" s="18"/>
      <c r="OG17" s="18"/>
      <c r="OH17" s="18"/>
      <c r="OI17" s="18"/>
      <c r="OJ17" s="18"/>
      <c r="OK17" s="18"/>
      <c r="OL17" s="18"/>
      <c r="OM17" s="18"/>
      <c r="ON17" s="18"/>
      <c r="OO17" s="18"/>
      <c r="OP17" s="18"/>
      <c r="OQ17" s="18"/>
      <c r="OR17" s="18"/>
      <c r="OS17" s="18"/>
      <c r="OT17" s="18"/>
      <c r="OU17" s="18"/>
      <c r="OV17" s="18"/>
      <c r="OW17" s="18"/>
      <c r="OX17" s="18"/>
      <c r="OY17" s="18"/>
      <c r="OZ17" s="18"/>
      <c r="PA17" s="18"/>
      <c r="PB17" s="18"/>
      <c r="PC17" s="18"/>
      <c r="PD17" s="18"/>
      <c r="PE17" s="18"/>
      <c r="PF17" s="18"/>
      <c r="PG17" s="18"/>
      <c r="PH17" s="18"/>
      <c r="PI17" s="18"/>
      <c r="PJ17" s="18"/>
      <c r="PK17" s="18"/>
      <c r="PL17" s="18"/>
      <c r="PM17" s="18"/>
      <c r="PN17" s="18"/>
      <c r="PO17" s="18"/>
      <c r="PP17" s="18"/>
      <c r="PQ17" s="18"/>
      <c r="PR17" s="18"/>
      <c r="PS17" s="18"/>
      <c r="PT17" s="18"/>
      <c r="PU17" s="18"/>
      <c r="PV17" s="18"/>
      <c r="PW17" s="18"/>
      <c r="PX17" s="18"/>
      <c r="PY17" s="18"/>
      <c r="PZ17" s="18"/>
      <c r="QA17" s="18"/>
      <c r="QB17" s="18"/>
      <c r="QC17" s="18"/>
      <c r="QD17" s="18"/>
      <c r="QE17" s="18"/>
      <c r="QF17" s="18"/>
      <c r="QG17" s="18"/>
      <c r="QH17" s="18"/>
      <c r="QI17" s="18"/>
      <c r="QJ17" s="18"/>
      <c r="QK17" s="18"/>
      <c r="QL17" s="18"/>
      <c r="QM17" s="18"/>
      <c r="QN17" s="18"/>
      <c r="QO17" s="18"/>
      <c r="QP17" s="18"/>
      <c r="QQ17" s="18"/>
      <c r="QR17" s="18"/>
      <c r="QS17" s="18"/>
      <c r="QT17" s="18"/>
      <c r="QU17" s="18"/>
      <c r="QV17" s="18"/>
      <c r="QW17" s="18"/>
      <c r="QX17" s="18"/>
      <c r="QY17" s="18"/>
      <c r="QZ17" s="18"/>
      <c r="RA17" s="18"/>
      <c r="RB17" s="18"/>
      <c r="RC17" s="18"/>
      <c r="RD17" s="18"/>
      <c r="RE17" s="18"/>
      <c r="RF17" s="18"/>
      <c r="RG17" s="18"/>
      <c r="RH17" s="18"/>
      <c r="RI17" s="18"/>
      <c r="RJ17" s="18"/>
      <c r="RK17" s="18"/>
      <c r="RL17" s="18"/>
      <c r="RM17" s="18"/>
      <c r="RN17" s="18"/>
      <c r="RO17" s="18"/>
      <c r="RP17" s="18"/>
      <c r="RQ17" s="18"/>
      <c r="RR17" s="18"/>
      <c r="RS17" s="18"/>
      <c r="RT17" s="18"/>
      <c r="RU17" s="18"/>
      <c r="RV17" s="18"/>
      <c r="RW17" s="18"/>
      <c r="RX17" s="18"/>
      <c r="RY17" s="18"/>
      <c r="RZ17" s="18"/>
      <c r="SA17" s="18"/>
      <c r="SB17" s="18"/>
      <c r="SC17" s="18"/>
      <c r="SD17" s="18"/>
      <c r="SE17" s="18"/>
      <c r="SF17" s="18"/>
      <c r="SG17" s="18"/>
      <c r="SH17" s="18"/>
      <c r="SI17" s="18"/>
      <c r="SJ17" s="18"/>
      <c r="SK17" s="18"/>
      <c r="SL17" s="18"/>
      <c r="SM17" s="18"/>
      <c r="SN17" s="18"/>
      <c r="SO17" s="18"/>
      <c r="SP17" s="18"/>
      <c r="SQ17" s="18"/>
      <c r="SR17" s="18"/>
      <c r="SS17" s="18"/>
      <c r="ST17" s="18"/>
      <c r="SU17" s="18"/>
      <c r="SV17" s="18"/>
      <c r="SW17" s="18"/>
      <c r="SX17" s="18"/>
      <c r="SY17" s="18"/>
      <c r="SZ17" s="18"/>
      <c r="TA17" s="18"/>
      <c r="TB17" s="18"/>
      <c r="TC17" s="18"/>
      <c r="TD17" s="18"/>
      <c r="TE17" s="18"/>
      <c r="TF17" s="18"/>
      <c r="TG17" s="18"/>
      <c r="TH17" s="18"/>
      <c r="TI17" s="18"/>
      <c r="TJ17" s="18"/>
      <c r="TK17" s="18"/>
      <c r="TL17" s="18"/>
      <c r="TM17" s="18"/>
      <c r="TN17" s="18"/>
      <c r="TO17" s="18"/>
      <c r="TP17" s="18"/>
      <c r="TQ17" s="18"/>
      <c r="TR17" s="18"/>
      <c r="TS17" s="18"/>
      <c r="TT17" s="18"/>
      <c r="TU17" s="18"/>
      <c r="TV17" s="18"/>
      <c r="TW17" s="18"/>
      <c r="TX17" s="18"/>
      <c r="TY17" s="18"/>
      <c r="TZ17" s="18"/>
      <c r="UA17" s="18"/>
      <c r="UB17" s="18"/>
      <c r="UC17" s="18"/>
      <c r="UD17" s="18"/>
      <c r="UE17" s="18"/>
      <c r="UF17" s="18"/>
      <c r="UG17" s="18"/>
      <c r="UH17" s="18"/>
      <c r="UI17" s="18"/>
      <c r="UJ17" s="18"/>
      <c r="UK17" s="18"/>
      <c r="UL17" s="18"/>
      <c r="UM17" s="18"/>
      <c r="UN17" s="18"/>
      <c r="UO17" s="18"/>
      <c r="UP17" s="18"/>
      <c r="UQ17" s="18"/>
      <c r="UR17" s="18"/>
      <c r="US17" s="18"/>
      <c r="UT17" s="18"/>
      <c r="UU17" s="18"/>
      <c r="UV17" s="18"/>
      <c r="UW17" s="18"/>
      <c r="UX17" s="18"/>
      <c r="UY17" s="18"/>
      <c r="UZ17" s="18"/>
      <c r="VA17" s="18"/>
      <c r="VB17" s="18"/>
      <c r="VC17" s="18"/>
      <c r="VD17" s="18"/>
      <c r="VE17" s="18"/>
      <c r="VF17" s="18"/>
      <c r="VG17" s="18"/>
      <c r="VH17" s="18"/>
      <c r="VI17" s="18"/>
      <c r="VJ17" s="18"/>
      <c r="VK17" s="18"/>
      <c r="VL17" s="18"/>
      <c r="VM17" s="18"/>
      <c r="VN17" s="18"/>
      <c r="VO17" s="18"/>
      <c r="VP17" s="18"/>
      <c r="VQ17" s="18"/>
      <c r="VR17" s="18"/>
      <c r="VS17" s="18"/>
      <c r="VT17" s="18"/>
      <c r="VU17" s="18"/>
      <c r="VV17" s="18"/>
      <c r="VW17" s="18"/>
      <c r="VX17" s="18"/>
      <c r="VY17" s="18"/>
      <c r="VZ17" s="18"/>
      <c r="WA17" s="18"/>
      <c r="WB17" s="18"/>
      <c r="WC17" s="18"/>
      <c r="WD17" s="18"/>
      <c r="WE17" s="18"/>
      <c r="WF17" s="18"/>
      <c r="WG17" s="18"/>
      <c r="WH17" s="18"/>
      <c r="WI17" s="18"/>
      <c r="WJ17" s="18"/>
      <c r="WK17" s="18"/>
      <c r="WL17" s="18"/>
      <c r="WM17" s="18"/>
      <c r="WN17" s="18"/>
      <c r="WO17" s="18"/>
      <c r="WP17" s="18"/>
      <c r="WQ17" s="18"/>
      <c r="WR17" s="18"/>
      <c r="WS17" s="18"/>
      <c r="WT17" s="18"/>
      <c r="WU17" s="18"/>
      <c r="WV17" s="18"/>
      <c r="WW17" s="18"/>
      <c r="WX17" s="18"/>
      <c r="WY17" s="18"/>
      <c r="WZ17" s="18"/>
      <c r="XA17" s="18"/>
      <c r="XB17" s="18"/>
      <c r="XC17" s="18"/>
      <c r="XD17" s="18"/>
      <c r="XE17" s="18"/>
      <c r="XF17" s="18"/>
      <c r="XG17" s="18"/>
      <c r="XH17" s="18"/>
      <c r="XI17" s="18"/>
      <c r="XJ17" s="18"/>
      <c r="XK17" s="18"/>
      <c r="XL17" s="18"/>
      <c r="XM17" s="18"/>
      <c r="XN17" s="18"/>
      <c r="XO17" s="18"/>
      <c r="XP17" s="18"/>
      <c r="XQ17" s="18"/>
      <c r="XR17" s="18"/>
      <c r="XS17" s="18"/>
      <c r="XT17" s="18"/>
      <c r="XU17" s="18"/>
      <c r="XV17" s="18"/>
      <c r="XW17" s="18"/>
      <c r="XX17" s="18"/>
      <c r="XY17" s="18"/>
      <c r="XZ17" s="18"/>
      <c r="YA17" s="18"/>
      <c r="YB17" s="18"/>
      <c r="YC17" s="18"/>
      <c r="YD17" s="18"/>
      <c r="YE17" s="18"/>
      <c r="YF17" s="18"/>
      <c r="YG17" s="18"/>
      <c r="YH17" s="18"/>
      <c r="YI17" s="18"/>
      <c r="YJ17" s="18"/>
      <c r="YK17" s="18"/>
      <c r="YL17" s="18"/>
      <c r="YM17" s="18"/>
      <c r="YN17" s="18"/>
      <c r="YO17" s="18"/>
      <c r="YP17" s="18"/>
      <c r="YQ17" s="18"/>
      <c r="YR17" s="18"/>
      <c r="YS17" s="18"/>
      <c r="YT17" s="18"/>
      <c r="YU17" s="18"/>
      <c r="YV17" s="18"/>
      <c r="YW17" s="18"/>
      <c r="YX17" s="18"/>
      <c r="YY17" s="18"/>
      <c r="YZ17" s="18"/>
      <c r="ZA17" s="18"/>
      <c r="ZB17" s="18"/>
      <c r="ZC17" s="18"/>
      <c r="ZD17" s="18"/>
      <c r="ZE17" s="18"/>
      <c r="ZF17" s="18"/>
      <c r="ZG17" s="18"/>
      <c r="ZH17" s="18"/>
      <c r="ZI17" s="18"/>
      <c r="ZJ17" s="18"/>
      <c r="ZK17" s="18"/>
      <c r="ZL17" s="18"/>
      <c r="ZM17" s="18"/>
      <c r="ZN17" s="18"/>
      <c r="ZO17" s="18"/>
      <c r="ZP17" s="18"/>
      <c r="ZQ17" s="18"/>
      <c r="ZR17" s="18"/>
      <c r="ZS17" s="18"/>
      <c r="ZT17" s="18"/>
      <c r="ZU17" s="18"/>
      <c r="ZV17" s="18"/>
      <c r="ZW17" s="18"/>
      <c r="ZX17" s="18"/>
      <c r="ZY17" s="18"/>
      <c r="ZZ17" s="18"/>
      <c r="AAA17" s="18"/>
      <c r="AAB17" s="18"/>
      <c r="AAC17" s="18"/>
      <c r="AAD17" s="18"/>
      <c r="AAE17" s="18"/>
      <c r="AAF17" s="18"/>
      <c r="AAG17" s="18"/>
      <c r="AAH17" s="18"/>
      <c r="AAI17" s="18"/>
      <c r="AAJ17" s="18"/>
      <c r="AAK17" s="18"/>
      <c r="AAL17" s="18"/>
      <c r="AAM17" s="18"/>
      <c r="AAN17" s="18"/>
      <c r="AAO17" s="18"/>
      <c r="AAP17" s="18"/>
      <c r="AAQ17" s="18"/>
      <c r="AAR17" s="18"/>
      <c r="AAS17" s="18"/>
      <c r="AAT17" s="18"/>
      <c r="AAU17" s="18"/>
      <c r="AAV17" s="18"/>
      <c r="AAW17" s="18"/>
      <c r="AAX17" s="18"/>
      <c r="AAY17" s="18"/>
      <c r="AAZ17" s="18"/>
      <c r="ABA17" s="18"/>
      <c r="ABB17" s="18"/>
      <c r="ABC17" s="18"/>
      <c r="ABD17" s="18"/>
      <c r="ABE17" s="18"/>
      <c r="ABF17" s="18"/>
      <c r="ABG17" s="18"/>
      <c r="ABH17" s="18"/>
      <c r="ABI17" s="18"/>
      <c r="ABJ17" s="18"/>
      <c r="ABK17" s="18"/>
      <c r="ABL17" s="18"/>
      <c r="ABM17" s="18"/>
      <c r="ABN17" s="18"/>
      <c r="ABO17" s="18"/>
      <c r="ABP17" s="18"/>
      <c r="ABQ17" s="18"/>
      <c r="ABR17" s="18"/>
      <c r="ABS17" s="18"/>
      <c r="ABT17" s="18"/>
      <c r="ABU17" s="18"/>
      <c r="ABV17" s="18"/>
      <c r="ABW17" s="18"/>
      <c r="ABX17" s="18"/>
      <c r="ABY17" s="18"/>
      <c r="ABZ17" s="18"/>
      <c r="ACA17" s="18"/>
      <c r="ACB17" s="18"/>
      <c r="ACC17" s="18"/>
      <c r="ACD17" s="18"/>
      <c r="ACE17" s="18"/>
      <c r="ACF17" s="18"/>
      <c r="ACG17" s="18"/>
      <c r="ACH17" s="18"/>
      <c r="ACI17" s="18"/>
      <c r="ACJ17" s="18"/>
      <c r="ACK17" s="18"/>
      <c r="ACL17" s="18"/>
      <c r="ACM17" s="18"/>
      <c r="ACN17" s="18"/>
      <c r="ACO17" s="18"/>
      <c r="ACP17" s="18"/>
      <c r="ACQ17" s="18"/>
      <c r="ACR17" s="18"/>
      <c r="ACS17" s="18"/>
      <c r="ACT17" s="18"/>
      <c r="ACU17" s="18"/>
      <c r="ACV17" s="18"/>
      <c r="ACW17" s="18"/>
      <c r="ACX17" s="18"/>
      <c r="ACY17" s="18"/>
      <c r="ACZ17" s="18"/>
      <c r="ADA17" s="18"/>
      <c r="ADB17" s="18"/>
      <c r="ADC17" s="18"/>
      <c r="ADD17" s="18"/>
      <c r="ADE17" s="18"/>
      <c r="ADF17" s="18"/>
      <c r="ADG17" s="18"/>
      <c r="ADH17" s="18"/>
      <c r="ADI17" s="18"/>
      <c r="ADJ17" s="18"/>
      <c r="ADK17" s="18"/>
      <c r="ADL17" s="18"/>
      <c r="ADM17" s="18"/>
      <c r="ADN17" s="18"/>
      <c r="ADO17" s="18"/>
      <c r="ADP17" s="18"/>
      <c r="ADQ17" s="18"/>
      <c r="ADR17" s="18"/>
      <c r="ADS17" s="18"/>
      <c r="ADT17" s="18"/>
      <c r="ADU17" s="18"/>
      <c r="ADV17" s="18"/>
      <c r="ADW17" s="18"/>
      <c r="ADX17" s="18"/>
      <c r="ADY17" s="18"/>
      <c r="ADZ17" s="18"/>
      <c r="AEA17" s="18"/>
      <c r="AEB17" s="18"/>
      <c r="AEC17" s="18"/>
      <c r="AED17" s="18"/>
      <c r="AEE17" s="18"/>
      <c r="AEF17" s="18"/>
      <c r="AEG17" s="18"/>
      <c r="AEH17" s="18"/>
      <c r="AEI17" s="18"/>
      <c r="AEJ17" s="18"/>
      <c r="AEK17" s="18"/>
      <c r="AEL17" s="18"/>
      <c r="AEM17" s="18"/>
      <c r="AEN17" s="18"/>
      <c r="AEO17" s="18"/>
      <c r="AEP17" s="18"/>
      <c r="AEQ17" s="18"/>
      <c r="AER17" s="18"/>
      <c r="AES17" s="18"/>
      <c r="AET17" s="18"/>
      <c r="AEU17" s="18"/>
      <c r="AEV17" s="18"/>
      <c r="AEW17" s="18"/>
      <c r="AEX17" s="18"/>
      <c r="AEY17" s="18"/>
      <c r="AEZ17" s="18"/>
      <c r="AFA17" s="18"/>
      <c r="AFB17" s="18"/>
      <c r="AFC17" s="18"/>
      <c r="AFD17" s="18"/>
      <c r="AFE17" s="18"/>
      <c r="AFF17" s="18"/>
      <c r="AFG17" s="18"/>
      <c r="AFH17" s="18"/>
      <c r="AFI17" s="18"/>
      <c r="AFJ17" s="18"/>
      <c r="AFK17" s="18"/>
      <c r="AFL17" s="18"/>
      <c r="AFM17" s="18"/>
      <c r="AFN17" s="18"/>
      <c r="AFO17" s="18"/>
      <c r="AFP17" s="18"/>
      <c r="AFQ17" s="18"/>
      <c r="AFR17" s="18"/>
      <c r="AFS17" s="18"/>
      <c r="AFT17" s="18"/>
      <c r="AFU17" s="18"/>
      <c r="AFV17" s="18"/>
      <c r="AFW17" s="18"/>
      <c r="AFX17" s="18"/>
      <c r="AFY17" s="18"/>
      <c r="AFZ17" s="18"/>
      <c r="AGA17" s="18"/>
      <c r="AGB17" s="18"/>
      <c r="AGC17" s="18"/>
      <c r="AGD17" s="18"/>
      <c r="AGE17" s="18"/>
      <c r="AGF17" s="18"/>
      <c r="AGG17" s="18"/>
      <c r="AGH17" s="18"/>
      <c r="AGI17" s="18"/>
      <c r="AGJ17" s="18"/>
      <c r="AGK17" s="18"/>
      <c r="AGL17" s="18"/>
      <c r="AGM17" s="18"/>
      <c r="AGN17" s="18"/>
      <c r="AGO17" s="18"/>
      <c r="AGP17" s="18"/>
      <c r="AGQ17" s="18"/>
      <c r="AGR17" s="18"/>
      <c r="AGS17" s="18"/>
      <c r="AGT17" s="18"/>
      <c r="AGU17" s="18"/>
      <c r="AGV17" s="18"/>
      <c r="AGW17" s="18"/>
      <c r="AGX17" s="18"/>
      <c r="AGY17" s="18"/>
      <c r="AGZ17" s="18"/>
      <c r="AHA17" s="18"/>
      <c r="AHB17" s="18"/>
      <c r="AHC17" s="18"/>
      <c r="AHD17" s="18"/>
      <c r="AHE17" s="18"/>
      <c r="AHF17" s="18"/>
      <c r="AHG17" s="18"/>
      <c r="AHH17" s="18"/>
      <c r="AHI17" s="18"/>
      <c r="AHJ17" s="18"/>
      <c r="AHK17" s="18"/>
      <c r="AHL17" s="18"/>
      <c r="AHM17" s="18"/>
      <c r="AHN17" s="18"/>
      <c r="AHO17" s="18"/>
      <c r="AHP17" s="18"/>
      <c r="AHQ17" s="18"/>
      <c r="AHR17" s="18"/>
      <c r="AHS17" s="18"/>
      <c r="AHT17" s="18"/>
      <c r="AHU17" s="18"/>
      <c r="AHV17" s="18"/>
      <c r="AHW17" s="18"/>
      <c r="AHX17" s="18"/>
      <c r="AHY17" s="18"/>
      <c r="AHZ17" s="18"/>
      <c r="AIA17" s="18"/>
      <c r="AIB17" s="18"/>
      <c r="AIC17" s="18"/>
      <c r="AID17" s="18"/>
      <c r="AIE17" s="18"/>
      <c r="AIF17" s="18"/>
      <c r="AIG17" s="18"/>
      <c r="AIH17" s="18"/>
      <c r="AII17" s="18"/>
      <c r="AIJ17" s="18"/>
      <c r="AIK17" s="18"/>
      <c r="AIL17" s="18"/>
      <c r="AIM17" s="18"/>
      <c r="AIN17" s="18"/>
      <c r="AIO17" s="18"/>
      <c r="AIP17" s="18"/>
      <c r="AIQ17" s="18"/>
      <c r="AIR17" s="18"/>
      <c r="AIS17" s="18"/>
      <c r="AIT17" s="18"/>
      <c r="AIU17" s="18"/>
      <c r="AIV17" s="18"/>
      <c r="AIW17" s="18"/>
      <c r="AIX17" s="18"/>
      <c r="AIY17" s="18"/>
      <c r="AIZ17" s="18"/>
      <c r="AJA17" s="18"/>
      <c r="AJB17" s="18"/>
      <c r="AJC17" s="18"/>
      <c r="AJD17" s="18"/>
      <c r="AJE17" s="18"/>
      <c r="AJF17" s="18"/>
      <c r="AJG17" s="18"/>
      <c r="AJH17" s="18"/>
      <c r="AJI17" s="18"/>
      <c r="AJJ17" s="18"/>
      <c r="AJK17" s="18"/>
      <c r="AJL17" s="18"/>
      <c r="AJM17" s="18"/>
      <c r="AJN17" s="18"/>
      <c r="AJO17" s="18"/>
      <c r="AJP17" s="18"/>
      <c r="AJQ17" s="18"/>
      <c r="AJR17" s="18"/>
      <c r="AJS17" s="18"/>
      <c r="AJT17" s="18"/>
      <c r="AJU17" s="18"/>
      <c r="AJV17" s="18"/>
      <c r="AJW17" s="18"/>
      <c r="AJX17" s="18"/>
      <c r="AJY17" s="18"/>
      <c r="AJZ17" s="18"/>
      <c r="AKA17" s="18"/>
      <c r="AKB17" s="18"/>
      <c r="AKC17" s="18"/>
      <c r="AKD17" s="18"/>
      <c r="AKE17" s="18"/>
      <c r="AKF17" s="18"/>
      <c r="AKG17" s="18"/>
      <c r="AKH17" s="18"/>
      <c r="AKI17" s="18"/>
      <c r="AKJ17" s="18"/>
      <c r="AKK17" s="18"/>
      <c r="AKL17" s="18"/>
      <c r="AKM17" s="18"/>
      <c r="AKN17" s="18"/>
      <c r="AKO17" s="18"/>
      <c r="AKP17" s="18"/>
      <c r="AKQ17" s="18"/>
      <c r="AKR17" s="18"/>
      <c r="AKS17" s="18"/>
      <c r="AKT17" s="18"/>
      <c r="AKU17" s="18"/>
      <c r="AKV17" s="18"/>
      <c r="AKW17" s="18"/>
      <c r="AKX17" s="18"/>
      <c r="AKY17" s="18"/>
      <c r="AKZ17" s="18"/>
      <c r="ALA17" s="18"/>
      <c r="ALB17" s="18"/>
      <c r="ALC17" s="18"/>
      <c r="ALD17" s="18"/>
      <c r="ALE17" s="18"/>
      <c r="ALF17" s="18"/>
      <c r="ALG17" s="18"/>
      <c r="ALH17" s="18"/>
      <c r="ALI17" s="18"/>
      <c r="ALJ17" s="18"/>
      <c r="ALK17" s="18"/>
      <c r="ALL17" s="18"/>
      <c r="ALM17" s="18"/>
      <c r="ALN17" s="18"/>
      <c r="ALO17" s="18"/>
      <c r="ALP17" s="18"/>
      <c r="ALQ17" s="18"/>
      <c r="ALR17" s="18"/>
      <c r="ALS17" s="18"/>
      <c r="ALT17" s="18"/>
      <c r="ALU17" s="18"/>
      <c r="ALV17" s="18"/>
      <c r="ALW17" s="18"/>
      <c r="ALX17" s="18"/>
      <c r="ALY17" s="18"/>
      <c r="ALZ17" s="18"/>
      <c r="AMA17" s="18"/>
      <c r="AMB17" s="18"/>
      <c r="AMC17" s="18"/>
      <c r="AMD17" s="18"/>
    </row>
    <row r="18" customFormat="false" ht="15" hidden="false" customHeight="true" outlineLevel="0" collapsed="false">
      <c r="A18" s="18"/>
      <c r="B18" s="119" t="str">
        <f aca="false">'Base Novo Hamburgo'!B10</f>
        <v>DEPÓSITO NOVO HAMBURGO</v>
      </c>
      <c r="C18" s="273" t="n">
        <f aca="false">VLOOKUP(B18,Unidades!$D$5:$G$35,4,)</f>
        <v>0.02</v>
      </c>
      <c r="D18" s="274" t="n">
        <f aca="false">'Base Novo Hamburgo'!AD10*12+'Base Novo Hamburgo'!AE10*4+'Base Novo Hamburgo'!AF10*2+'Base Novo Hamburgo'!AG10</f>
        <v>9703.15889870276</v>
      </c>
      <c r="E18" s="274" t="n">
        <f aca="false">'Base Novo Hamburgo'!AK10*12+'Base Novo Hamburgo'!AL10*4+'Base Novo Hamburgo'!AM10*2+'Base Novo Hamburgo'!AN10</f>
        <v>12329.8040125816</v>
      </c>
      <c r="IO18" s="18"/>
      <c r="IP18" s="18"/>
      <c r="IQ18" s="18"/>
      <c r="IR18" s="18"/>
      <c r="IS18" s="18"/>
      <c r="IT18" s="18"/>
      <c r="IU18" s="18"/>
      <c r="IV18" s="18"/>
      <c r="IW18" s="18"/>
      <c r="IX18" s="18"/>
      <c r="IY18" s="18"/>
      <c r="IZ18" s="18"/>
      <c r="JA18" s="18"/>
      <c r="JB18" s="18"/>
      <c r="JC18" s="18"/>
      <c r="JD18" s="18"/>
      <c r="JE18" s="18"/>
      <c r="JF18" s="18"/>
      <c r="JG18" s="18"/>
      <c r="JH18" s="18"/>
      <c r="JI18" s="18"/>
      <c r="JJ18" s="18"/>
      <c r="JK18" s="18"/>
      <c r="JL18" s="18"/>
      <c r="JM18" s="18"/>
      <c r="JN18" s="18"/>
      <c r="JO18" s="18"/>
      <c r="JP18" s="18"/>
      <c r="JQ18" s="18"/>
      <c r="JR18" s="18"/>
      <c r="JS18" s="18"/>
      <c r="JT18" s="18"/>
      <c r="JU18" s="18"/>
      <c r="JV18" s="18"/>
      <c r="JW18" s="18"/>
      <c r="JX18" s="18"/>
      <c r="JY18" s="18"/>
      <c r="JZ18" s="18"/>
      <c r="KA18" s="18"/>
      <c r="KB18" s="18"/>
      <c r="KC18" s="18"/>
      <c r="KD18" s="18"/>
      <c r="KE18" s="18"/>
      <c r="KF18" s="18"/>
      <c r="KG18" s="18"/>
      <c r="KH18" s="18"/>
      <c r="KI18" s="18"/>
      <c r="KJ18" s="18"/>
      <c r="KK18" s="18"/>
      <c r="KL18" s="18"/>
      <c r="KM18" s="18"/>
      <c r="KN18" s="18"/>
      <c r="KO18" s="18"/>
      <c r="KP18" s="18"/>
      <c r="KQ18" s="18"/>
      <c r="KR18" s="18"/>
      <c r="KS18" s="18"/>
      <c r="KT18" s="18"/>
      <c r="KU18" s="18"/>
      <c r="KV18" s="18"/>
      <c r="KW18" s="18"/>
      <c r="KX18" s="18"/>
      <c r="KY18" s="18"/>
      <c r="KZ18" s="18"/>
      <c r="LA18" s="18"/>
      <c r="LB18" s="18"/>
      <c r="LC18" s="18"/>
      <c r="LD18" s="18"/>
      <c r="LE18" s="18"/>
      <c r="LF18" s="18"/>
      <c r="LG18" s="18"/>
      <c r="LH18" s="18"/>
      <c r="LI18" s="18"/>
      <c r="LJ18" s="18"/>
      <c r="LK18" s="18"/>
      <c r="LL18" s="18"/>
      <c r="LM18" s="18"/>
      <c r="LN18" s="18"/>
      <c r="LO18" s="18"/>
      <c r="LP18" s="18"/>
      <c r="LQ18" s="18"/>
      <c r="LR18" s="18"/>
      <c r="LS18" s="18"/>
      <c r="LT18" s="18"/>
      <c r="LU18" s="18"/>
      <c r="LV18" s="18"/>
      <c r="LW18" s="18"/>
      <c r="LX18" s="18"/>
      <c r="LY18" s="18"/>
      <c r="LZ18" s="18"/>
      <c r="MA18" s="18"/>
      <c r="MB18" s="18"/>
      <c r="MC18" s="18"/>
      <c r="MD18" s="18"/>
      <c r="ME18" s="18"/>
      <c r="MF18" s="18"/>
      <c r="MG18" s="18"/>
      <c r="MH18" s="18"/>
      <c r="MI18" s="18"/>
      <c r="MJ18" s="18"/>
      <c r="MK18" s="18"/>
      <c r="ML18" s="18"/>
      <c r="MM18" s="18"/>
      <c r="MN18" s="18"/>
      <c r="MO18" s="18"/>
      <c r="MP18" s="18"/>
      <c r="MQ18" s="18"/>
      <c r="MR18" s="18"/>
      <c r="MS18" s="18"/>
      <c r="MT18" s="18"/>
      <c r="MU18" s="18"/>
      <c r="MV18" s="18"/>
      <c r="MW18" s="18"/>
      <c r="MX18" s="18"/>
      <c r="MY18" s="18"/>
      <c r="MZ18" s="18"/>
      <c r="NA18" s="18"/>
      <c r="NB18" s="18"/>
      <c r="NC18" s="18"/>
      <c r="ND18" s="18"/>
      <c r="NE18" s="18"/>
      <c r="NF18" s="18"/>
      <c r="NG18" s="18"/>
      <c r="NH18" s="18"/>
      <c r="NI18" s="18"/>
      <c r="NJ18" s="18"/>
      <c r="NK18" s="18"/>
      <c r="NL18" s="18"/>
      <c r="NM18" s="18"/>
      <c r="NN18" s="18"/>
      <c r="NO18" s="18"/>
      <c r="NP18" s="18"/>
      <c r="NQ18" s="18"/>
      <c r="NR18" s="18"/>
      <c r="NS18" s="18"/>
      <c r="NT18" s="18"/>
      <c r="NU18" s="18"/>
      <c r="NV18" s="18"/>
      <c r="NW18" s="18"/>
      <c r="NX18" s="18"/>
      <c r="NY18" s="18"/>
      <c r="NZ18" s="18"/>
      <c r="OA18" s="18"/>
      <c r="OB18" s="18"/>
      <c r="OC18" s="18"/>
      <c r="OD18" s="18"/>
      <c r="OE18" s="18"/>
      <c r="OF18" s="18"/>
      <c r="OG18" s="18"/>
      <c r="OH18" s="18"/>
      <c r="OI18" s="18"/>
      <c r="OJ18" s="18"/>
      <c r="OK18" s="18"/>
      <c r="OL18" s="18"/>
      <c r="OM18" s="18"/>
      <c r="ON18" s="18"/>
      <c r="OO18" s="18"/>
      <c r="OP18" s="18"/>
      <c r="OQ18" s="18"/>
      <c r="OR18" s="18"/>
      <c r="OS18" s="18"/>
      <c r="OT18" s="18"/>
      <c r="OU18" s="18"/>
      <c r="OV18" s="18"/>
      <c r="OW18" s="18"/>
      <c r="OX18" s="18"/>
      <c r="OY18" s="18"/>
      <c r="OZ18" s="18"/>
      <c r="PA18" s="18"/>
      <c r="PB18" s="18"/>
      <c r="PC18" s="18"/>
      <c r="PD18" s="18"/>
      <c r="PE18" s="18"/>
      <c r="PF18" s="18"/>
      <c r="PG18" s="18"/>
      <c r="PH18" s="18"/>
      <c r="PI18" s="18"/>
      <c r="PJ18" s="18"/>
      <c r="PK18" s="18"/>
      <c r="PL18" s="18"/>
      <c r="PM18" s="18"/>
      <c r="PN18" s="18"/>
      <c r="PO18" s="18"/>
      <c r="PP18" s="18"/>
      <c r="PQ18" s="18"/>
      <c r="PR18" s="18"/>
      <c r="PS18" s="18"/>
      <c r="PT18" s="18"/>
      <c r="PU18" s="18"/>
      <c r="PV18" s="18"/>
      <c r="PW18" s="18"/>
      <c r="PX18" s="18"/>
      <c r="PY18" s="18"/>
      <c r="PZ18" s="18"/>
      <c r="QA18" s="18"/>
      <c r="QB18" s="18"/>
      <c r="QC18" s="18"/>
      <c r="QD18" s="18"/>
      <c r="QE18" s="18"/>
      <c r="QF18" s="18"/>
      <c r="QG18" s="18"/>
      <c r="QH18" s="18"/>
      <c r="QI18" s="18"/>
      <c r="QJ18" s="18"/>
      <c r="QK18" s="18"/>
      <c r="QL18" s="18"/>
      <c r="QM18" s="18"/>
      <c r="QN18" s="18"/>
      <c r="QO18" s="18"/>
      <c r="QP18" s="18"/>
      <c r="QQ18" s="18"/>
      <c r="QR18" s="18"/>
      <c r="QS18" s="18"/>
      <c r="QT18" s="18"/>
      <c r="QU18" s="18"/>
      <c r="QV18" s="18"/>
      <c r="QW18" s="18"/>
      <c r="QX18" s="18"/>
      <c r="QY18" s="18"/>
      <c r="QZ18" s="18"/>
      <c r="RA18" s="18"/>
      <c r="RB18" s="18"/>
      <c r="RC18" s="18"/>
      <c r="RD18" s="18"/>
      <c r="RE18" s="18"/>
      <c r="RF18" s="18"/>
      <c r="RG18" s="18"/>
      <c r="RH18" s="18"/>
      <c r="RI18" s="18"/>
      <c r="RJ18" s="18"/>
      <c r="RK18" s="18"/>
      <c r="RL18" s="18"/>
      <c r="RM18" s="18"/>
      <c r="RN18" s="18"/>
      <c r="RO18" s="18"/>
      <c r="RP18" s="18"/>
      <c r="RQ18" s="18"/>
      <c r="RR18" s="18"/>
      <c r="RS18" s="18"/>
      <c r="RT18" s="18"/>
      <c r="RU18" s="18"/>
      <c r="RV18" s="18"/>
      <c r="RW18" s="18"/>
      <c r="RX18" s="18"/>
      <c r="RY18" s="18"/>
      <c r="RZ18" s="18"/>
      <c r="SA18" s="18"/>
      <c r="SB18" s="18"/>
      <c r="SC18" s="18"/>
      <c r="SD18" s="18"/>
      <c r="SE18" s="18"/>
      <c r="SF18" s="18"/>
      <c r="SG18" s="18"/>
      <c r="SH18" s="18"/>
      <c r="SI18" s="18"/>
      <c r="SJ18" s="18"/>
      <c r="SK18" s="18"/>
      <c r="SL18" s="18"/>
      <c r="SM18" s="18"/>
      <c r="SN18" s="18"/>
      <c r="SO18" s="18"/>
      <c r="SP18" s="18"/>
      <c r="SQ18" s="18"/>
      <c r="SR18" s="18"/>
      <c r="SS18" s="18"/>
      <c r="ST18" s="18"/>
      <c r="SU18" s="18"/>
      <c r="SV18" s="18"/>
      <c r="SW18" s="18"/>
      <c r="SX18" s="18"/>
      <c r="SY18" s="18"/>
      <c r="SZ18" s="18"/>
      <c r="TA18" s="18"/>
      <c r="TB18" s="18"/>
      <c r="TC18" s="18"/>
      <c r="TD18" s="18"/>
      <c r="TE18" s="18"/>
      <c r="TF18" s="18"/>
      <c r="TG18" s="18"/>
      <c r="TH18" s="18"/>
      <c r="TI18" s="18"/>
      <c r="TJ18" s="18"/>
      <c r="TK18" s="18"/>
      <c r="TL18" s="18"/>
      <c r="TM18" s="18"/>
      <c r="TN18" s="18"/>
      <c r="TO18" s="18"/>
      <c r="TP18" s="18"/>
      <c r="TQ18" s="18"/>
      <c r="TR18" s="18"/>
      <c r="TS18" s="18"/>
      <c r="TT18" s="18"/>
      <c r="TU18" s="18"/>
      <c r="TV18" s="18"/>
      <c r="TW18" s="18"/>
      <c r="TX18" s="18"/>
      <c r="TY18" s="18"/>
      <c r="TZ18" s="18"/>
      <c r="UA18" s="18"/>
      <c r="UB18" s="18"/>
      <c r="UC18" s="18"/>
      <c r="UD18" s="18"/>
      <c r="UE18" s="18"/>
      <c r="UF18" s="18"/>
      <c r="UG18" s="18"/>
      <c r="UH18" s="18"/>
      <c r="UI18" s="18"/>
      <c r="UJ18" s="18"/>
      <c r="UK18" s="18"/>
      <c r="UL18" s="18"/>
      <c r="UM18" s="18"/>
      <c r="UN18" s="18"/>
      <c r="UO18" s="18"/>
      <c r="UP18" s="18"/>
      <c r="UQ18" s="18"/>
      <c r="UR18" s="18"/>
      <c r="US18" s="18"/>
      <c r="UT18" s="18"/>
      <c r="UU18" s="18"/>
      <c r="UV18" s="18"/>
      <c r="UW18" s="18"/>
      <c r="UX18" s="18"/>
      <c r="UY18" s="18"/>
      <c r="UZ18" s="18"/>
      <c r="VA18" s="18"/>
      <c r="VB18" s="18"/>
      <c r="VC18" s="18"/>
      <c r="VD18" s="18"/>
      <c r="VE18" s="18"/>
      <c r="VF18" s="18"/>
      <c r="VG18" s="18"/>
      <c r="VH18" s="18"/>
      <c r="VI18" s="18"/>
      <c r="VJ18" s="18"/>
      <c r="VK18" s="18"/>
      <c r="VL18" s="18"/>
      <c r="VM18" s="18"/>
      <c r="VN18" s="18"/>
      <c r="VO18" s="18"/>
      <c r="VP18" s="18"/>
      <c r="VQ18" s="18"/>
      <c r="VR18" s="18"/>
      <c r="VS18" s="18"/>
      <c r="VT18" s="18"/>
      <c r="VU18" s="18"/>
      <c r="VV18" s="18"/>
      <c r="VW18" s="18"/>
      <c r="VX18" s="18"/>
      <c r="VY18" s="18"/>
      <c r="VZ18" s="18"/>
      <c r="WA18" s="18"/>
      <c r="WB18" s="18"/>
      <c r="WC18" s="18"/>
      <c r="WD18" s="18"/>
      <c r="WE18" s="18"/>
      <c r="WF18" s="18"/>
      <c r="WG18" s="18"/>
      <c r="WH18" s="18"/>
      <c r="WI18" s="18"/>
      <c r="WJ18" s="18"/>
      <c r="WK18" s="18"/>
      <c r="WL18" s="18"/>
      <c r="WM18" s="18"/>
      <c r="WN18" s="18"/>
      <c r="WO18" s="18"/>
      <c r="WP18" s="18"/>
      <c r="WQ18" s="18"/>
      <c r="WR18" s="18"/>
      <c r="WS18" s="18"/>
      <c r="WT18" s="18"/>
      <c r="WU18" s="18"/>
      <c r="WV18" s="18"/>
      <c r="WW18" s="18"/>
      <c r="WX18" s="18"/>
      <c r="WY18" s="18"/>
      <c r="WZ18" s="18"/>
      <c r="XA18" s="18"/>
      <c r="XB18" s="18"/>
      <c r="XC18" s="18"/>
      <c r="XD18" s="18"/>
      <c r="XE18" s="18"/>
      <c r="XF18" s="18"/>
      <c r="XG18" s="18"/>
      <c r="XH18" s="18"/>
      <c r="XI18" s="18"/>
      <c r="XJ18" s="18"/>
      <c r="XK18" s="18"/>
      <c r="XL18" s="18"/>
      <c r="XM18" s="18"/>
      <c r="XN18" s="18"/>
      <c r="XO18" s="18"/>
      <c r="XP18" s="18"/>
      <c r="XQ18" s="18"/>
      <c r="XR18" s="18"/>
      <c r="XS18" s="18"/>
      <c r="XT18" s="18"/>
      <c r="XU18" s="18"/>
      <c r="XV18" s="18"/>
      <c r="XW18" s="18"/>
      <c r="XX18" s="18"/>
      <c r="XY18" s="18"/>
      <c r="XZ18" s="18"/>
      <c r="YA18" s="18"/>
      <c r="YB18" s="18"/>
      <c r="YC18" s="18"/>
      <c r="YD18" s="18"/>
      <c r="YE18" s="18"/>
      <c r="YF18" s="18"/>
      <c r="YG18" s="18"/>
      <c r="YH18" s="18"/>
      <c r="YI18" s="18"/>
      <c r="YJ18" s="18"/>
      <c r="YK18" s="18"/>
      <c r="YL18" s="18"/>
      <c r="YM18" s="18"/>
      <c r="YN18" s="18"/>
      <c r="YO18" s="18"/>
      <c r="YP18" s="18"/>
      <c r="YQ18" s="18"/>
      <c r="YR18" s="18"/>
      <c r="YS18" s="18"/>
      <c r="YT18" s="18"/>
      <c r="YU18" s="18"/>
      <c r="YV18" s="18"/>
      <c r="YW18" s="18"/>
      <c r="YX18" s="18"/>
      <c r="YY18" s="18"/>
      <c r="YZ18" s="18"/>
      <c r="ZA18" s="18"/>
      <c r="ZB18" s="18"/>
      <c r="ZC18" s="18"/>
      <c r="ZD18" s="18"/>
      <c r="ZE18" s="18"/>
      <c r="ZF18" s="18"/>
      <c r="ZG18" s="18"/>
      <c r="ZH18" s="18"/>
      <c r="ZI18" s="18"/>
      <c r="ZJ18" s="18"/>
      <c r="ZK18" s="18"/>
      <c r="ZL18" s="18"/>
      <c r="ZM18" s="18"/>
      <c r="ZN18" s="18"/>
      <c r="ZO18" s="18"/>
      <c r="ZP18" s="18"/>
      <c r="ZQ18" s="18"/>
      <c r="ZR18" s="18"/>
      <c r="ZS18" s="18"/>
      <c r="ZT18" s="18"/>
      <c r="ZU18" s="18"/>
      <c r="ZV18" s="18"/>
      <c r="ZW18" s="18"/>
      <c r="ZX18" s="18"/>
      <c r="ZY18" s="18"/>
      <c r="ZZ18" s="18"/>
      <c r="AAA18" s="18"/>
      <c r="AAB18" s="18"/>
      <c r="AAC18" s="18"/>
      <c r="AAD18" s="18"/>
      <c r="AAE18" s="18"/>
      <c r="AAF18" s="18"/>
      <c r="AAG18" s="18"/>
      <c r="AAH18" s="18"/>
      <c r="AAI18" s="18"/>
      <c r="AAJ18" s="18"/>
      <c r="AAK18" s="18"/>
      <c r="AAL18" s="18"/>
      <c r="AAM18" s="18"/>
      <c r="AAN18" s="18"/>
      <c r="AAO18" s="18"/>
      <c r="AAP18" s="18"/>
      <c r="AAQ18" s="18"/>
      <c r="AAR18" s="18"/>
      <c r="AAS18" s="18"/>
      <c r="AAT18" s="18"/>
      <c r="AAU18" s="18"/>
      <c r="AAV18" s="18"/>
      <c r="AAW18" s="18"/>
      <c r="AAX18" s="18"/>
      <c r="AAY18" s="18"/>
      <c r="AAZ18" s="18"/>
      <c r="ABA18" s="18"/>
      <c r="ABB18" s="18"/>
      <c r="ABC18" s="18"/>
      <c r="ABD18" s="18"/>
      <c r="ABE18" s="18"/>
      <c r="ABF18" s="18"/>
      <c r="ABG18" s="18"/>
      <c r="ABH18" s="18"/>
      <c r="ABI18" s="18"/>
      <c r="ABJ18" s="18"/>
      <c r="ABK18" s="18"/>
      <c r="ABL18" s="18"/>
      <c r="ABM18" s="18"/>
      <c r="ABN18" s="18"/>
      <c r="ABO18" s="18"/>
      <c r="ABP18" s="18"/>
      <c r="ABQ18" s="18"/>
      <c r="ABR18" s="18"/>
      <c r="ABS18" s="18"/>
      <c r="ABT18" s="18"/>
      <c r="ABU18" s="18"/>
      <c r="ABV18" s="18"/>
      <c r="ABW18" s="18"/>
      <c r="ABX18" s="18"/>
      <c r="ABY18" s="18"/>
      <c r="ABZ18" s="18"/>
      <c r="ACA18" s="18"/>
      <c r="ACB18" s="18"/>
      <c r="ACC18" s="18"/>
      <c r="ACD18" s="18"/>
      <c r="ACE18" s="18"/>
      <c r="ACF18" s="18"/>
      <c r="ACG18" s="18"/>
      <c r="ACH18" s="18"/>
      <c r="ACI18" s="18"/>
      <c r="ACJ18" s="18"/>
      <c r="ACK18" s="18"/>
      <c r="ACL18" s="18"/>
      <c r="ACM18" s="18"/>
      <c r="ACN18" s="18"/>
      <c r="ACO18" s="18"/>
      <c r="ACP18" s="18"/>
      <c r="ACQ18" s="18"/>
      <c r="ACR18" s="18"/>
      <c r="ACS18" s="18"/>
      <c r="ACT18" s="18"/>
      <c r="ACU18" s="18"/>
      <c r="ACV18" s="18"/>
      <c r="ACW18" s="18"/>
      <c r="ACX18" s="18"/>
      <c r="ACY18" s="18"/>
      <c r="ACZ18" s="18"/>
      <c r="ADA18" s="18"/>
      <c r="ADB18" s="18"/>
      <c r="ADC18" s="18"/>
      <c r="ADD18" s="18"/>
      <c r="ADE18" s="18"/>
      <c r="ADF18" s="18"/>
      <c r="ADG18" s="18"/>
      <c r="ADH18" s="18"/>
      <c r="ADI18" s="18"/>
      <c r="ADJ18" s="18"/>
      <c r="ADK18" s="18"/>
      <c r="ADL18" s="18"/>
      <c r="ADM18" s="18"/>
      <c r="ADN18" s="18"/>
      <c r="ADO18" s="18"/>
      <c r="ADP18" s="18"/>
      <c r="ADQ18" s="18"/>
      <c r="ADR18" s="18"/>
      <c r="ADS18" s="18"/>
      <c r="ADT18" s="18"/>
      <c r="ADU18" s="18"/>
      <c r="ADV18" s="18"/>
      <c r="ADW18" s="18"/>
      <c r="ADX18" s="18"/>
      <c r="ADY18" s="18"/>
      <c r="ADZ18" s="18"/>
      <c r="AEA18" s="18"/>
      <c r="AEB18" s="18"/>
      <c r="AEC18" s="18"/>
      <c r="AED18" s="18"/>
      <c r="AEE18" s="18"/>
      <c r="AEF18" s="18"/>
      <c r="AEG18" s="18"/>
      <c r="AEH18" s="18"/>
      <c r="AEI18" s="18"/>
      <c r="AEJ18" s="18"/>
      <c r="AEK18" s="18"/>
      <c r="AEL18" s="18"/>
      <c r="AEM18" s="18"/>
      <c r="AEN18" s="18"/>
      <c r="AEO18" s="18"/>
      <c r="AEP18" s="18"/>
      <c r="AEQ18" s="18"/>
      <c r="AER18" s="18"/>
      <c r="AES18" s="18"/>
      <c r="AET18" s="18"/>
      <c r="AEU18" s="18"/>
      <c r="AEV18" s="18"/>
      <c r="AEW18" s="18"/>
      <c r="AEX18" s="18"/>
      <c r="AEY18" s="18"/>
      <c r="AEZ18" s="18"/>
      <c r="AFA18" s="18"/>
      <c r="AFB18" s="18"/>
      <c r="AFC18" s="18"/>
      <c r="AFD18" s="18"/>
      <c r="AFE18" s="18"/>
      <c r="AFF18" s="18"/>
      <c r="AFG18" s="18"/>
      <c r="AFH18" s="18"/>
      <c r="AFI18" s="18"/>
      <c r="AFJ18" s="18"/>
      <c r="AFK18" s="18"/>
      <c r="AFL18" s="18"/>
      <c r="AFM18" s="18"/>
      <c r="AFN18" s="18"/>
      <c r="AFO18" s="18"/>
      <c r="AFP18" s="18"/>
      <c r="AFQ18" s="18"/>
      <c r="AFR18" s="18"/>
      <c r="AFS18" s="18"/>
      <c r="AFT18" s="18"/>
      <c r="AFU18" s="18"/>
      <c r="AFV18" s="18"/>
      <c r="AFW18" s="18"/>
      <c r="AFX18" s="18"/>
      <c r="AFY18" s="18"/>
      <c r="AFZ18" s="18"/>
      <c r="AGA18" s="18"/>
      <c r="AGB18" s="18"/>
      <c r="AGC18" s="18"/>
      <c r="AGD18" s="18"/>
      <c r="AGE18" s="18"/>
      <c r="AGF18" s="18"/>
      <c r="AGG18" s="18"/>
      <c r="AGH18" s="18"/>
      <c r="AGI18" s="18"/>
      <c r="AGJ18" s="18"/>
      <c r="AGK18" s="18"/>
      <c r="AGL18" s="18"/>
      <c r="AGM18" s="18"/>
      <c r="AGN18" s="18"/>
      <c r="AGO18" s="18"/>
      <c r="AGP18" s="18"/>
      <c r="AGQ18" s="18"/>
      <c r="AGR18" s="18"/>
      <c r="AGS18" s="18"/>
      <c r="AGT18" s="18"/>
      <c r="AGU18" s="18"/>
      <c r="AGV18" s="18"/>
      <c r="AGW18" s="18"/>
      <c r="AGX18" s="18"/>
      <c r="AGY18" s="18"/>
      <c r="AGZ18" s="18"/>
      <c r="AHA18" s="18"/>
      <c r="AHB18" s="18"/>
      <c r="AHC18" s="18"/>
      <c r="AHD18" s="18"/>
      <c r="AHE18" s="18"/>
      <c r="AHF18" s="18"/>
      <c r="AHG18" s="18"/>
      <c r="AHH18" s="18"/>
      <c r="AHI18" s="18"/>
      <c r="AHJ18" s="18"/>
      <c r="AHK18" s="18"/>
      <c r="AHL18" s="18"/>
      <c r="AHM18" s="18"/>
      <c r="AHN18" s="18"/>
      <c r="AHO18" s="18"/>
      <c r="AHP18" s="18"/>
      <c r="AHQ18" s="18"/>
      <c r="AHR18" s="18"/>
      <c r="AHS18" s="18"/>
      <c r="AHT18" s="18"/>
      <c r="AHU18" s="18"/>
      <c r="AHV18" s="18"/>
      <c r="AHW18" s="18"/>
      <c r="AHX18" s="18"/>
      <c r="AHY18" s="18"/>
      <c r="AHZ18" s="18"/>
      <c r="AIA18" s="18"/>
      <c r="AIB18" s="18"/>
      <c r="AIC18" s="18"/>
      <c r="AID18" s="18"/>
      <c r="AIE18" s="18"/>
      <c r="AIF18" s="18"/>
      <c r="AIG18" s="18"/>
      <c r="AIH18" s="18"/>
      <c r="AII18" s="18"/>
      <c r="AIJ18" s="18"/>
      <c r="AIK18" s="18"/>
      <c r="AIL18" s="18"/>
      <c r="AIM18" s="18"/>
      <c r="AIN18" s="18"/>
      <c r="AIO18" s="18"/>
      <c r="AIP18" s="18"/>
      <c r="AIQ18" s="18"/>
      <c r="AIR18" s="18"/>
      <c r="AIS18" s="18"/>
      <c r="AIT18" s="18"/>
      <c r="AIU18" s="18"/>
      <c r="AIV18" s="18"/>
      <c r="AIW18" s="18"/>
      <c r="AIX18" s="18"/>
      <c r="AIY18" s="18"/>
      <c r="AIZ18" s="18"/>
      <c r="AJA18" s="18"/>
      <c r="AJB18" s="18"/>
      <c r="AJC18" s="18"/>
      <c r="AJD18" s="18"/>
      <c r="AJE18" s="18"/>
      <c r="AJF18" s="18"/>
      <c r="AJG18" s="18"/>
      <c r="AJH18" s="18"/>
      <c r="AJI18" s="18"/>
      <c r="AJJ18" s="18"/>
      <c r="AJK18" s="18"/>
      <c r="AJL18" s="18"/>
      <c r="AJM18" s="18"/>
      <c r="AJN18" s="18"/>
      <c r="AJO18" s="18"/>
      <c r="AJP18" s="18"/>
      <c r="AJQ18" s="18"/>
      <c r="AJR18" s="18"/>
      <c r="AJS18" s="18"/>
      <c r="AJT18" s="18"/>
      <c r="AJU18" s="18"/>
      <c r="AJV18" s="18"/>
      <c r="AJW18" s="18"/>
      <c r="AJX18" s="18"/>
      <c r="AJY18" s="18"/>
      <c r="AJZ18" s="18"/>
      <c r="AKA18" s="18"/>
      <c r="AKB18" s="18"/>
      <c r="AKC18" s="18"/>
      <c r="AKD18" s="18"/>
      <c r="AKE18" s="18"/>
      <c r="AKF18" s="18"/>
      <c r="AKG18" s="18"/>
      <c r="AKH18" s="18"/>
      <c r="AKI18" s="18"/>
      <c r="AKJ18" s="18"/>
      <c r="AKK18" s="18"/>
      <c r="AKL18" s="18"/>
      <c r="AKM18" s="18"/>
      <c r="AKN18" s="18"/>
      <c r="AKO18" s="18"/>
      <c r="AKP18" s="18"/>
      <c r="AKQ18" s="18"/>
      <c r="AKR18" s="18"/>
      <c r="AKS18" s="18"/>
      <c r="AKT18" s="18"/>
      <c r="AKU18" s="18"/>
      <c r="AKV18" s="18"/>
      <c r="AKW18" s="18"/>
      <c r="AKX18" s="18"/>
      <c r="AKY18" s="18"/>
      <c r="AKZ18" s="18"/>
      <c r="ALA18" s="18"/>
      <c r="ALB18" s="18"/>
      <c r="ALC18" s="18"/>
      <c r="ALD18" s="18"/>
      <c r="ALE18" s="18"/>
      <c r="ALF18" s="18"/>
      <c r="ALG18" s="18"/>
      <c r="ALH18" s="18"/>
      <c r="ALI18" s="18"/>
      <c r="ALJ18" s="18"/>
      <c r="ALK18" s="18"/>
      <c r="ALL18" s="18"/>
      <c r="ALM18" s="18"/>
      <c r="ALN18" s="18"/>
      <c r="ALO18" s="18"/>
      <c r="ALP18" s="18"/>
      <c r="ALQ18" s="18"/>
      <c r="ALR18" s="18"/>
      <c r="ALS18" s="18"/>
      <c r="ALT18" s="18"/>
      <c r="ALU18" s="18"/>
      <c r="ALV18" s="18"/>
      <c r="ALW18" s="18"/>
      <c r="ALX18" s="18"/>
      <c r="ALY18" s="18"/>
      <c r="ALZ18" s="18"/>
      <c r="AMA18" s="18"/>
      <c r="AMB18" s="18"/>
      <c r="AMC18" s="18"/>
      <c r="AMD18" s="18"/>
    </row>
    <row r="19" customFormat="false" ht="15" hidden="false" customHeight="true" outlineLevel="0" collapsed="false">
      <c r="A19" s="18"/>
      <c r="B19" s="119" t="str">
        <f aca="false">'Base Novo Hamburgo'!B11</f>
        <v>APS TRÊS COROAS</v>
      </c>
      <c r="C19" s="273" t="n">
        <f aca="false">VLOOKUP(B19,Unidades!$D$5:$G$35,4,)</f>
        <v>0.02</v>
      </c>
      <c r="D19" s="274" t="n">
        <f aca="false">'Base Novo Hamburgo'!AD11*12+'Base Novo Hamburgo'!AE11*4+'Base Novo Hamburgo'!AF11*2+'Base Novo Hamburgo'!AG11</f>
        <v>8683.57371761195</v>
      </c>
      <c r="E19" s="274" t="n">
        <f aca="false">'Base Novo Hamburgo'!AK11*12+'Base Novo Hamburgo'!AL11*4+'Base Novo Hamburgo'!AM11*2+'Base Novo Hamburgo'!AN11</f>
        <v>11034.2171229695</v>
      </c>
      <c r="IO19" s="18"/>
      <c r="IP19" s="18"/>
      <c r="IQ19" s="18"/>
      <c r="IR19" s="18"/>
      <c r="IS19" s="18"/>
      <c r="IT19" s="18"/>
      <c r="IU19" s="18"/>
      <c r="IV19" s="18"/>
      <c r="IW19" s="18"/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  <c r="ALM19" s="18"/>
      <c r="ALN19" s="18"/>
      <c r="ALO19" s="18"/>
      <c r="ALP19" s="18"/>
      <c r="ALQ19" s="18"/>
      <c r="ALR19" s="18"/>
      <c r="ALS19" s="18"/>
      <c r="ALT19" s="18"/>
      <c r="ALU19" s="18"/>
      <c r="ALV19" s="18"/>
      <c r="ALW19" s="18"/>
      <c r="ALX19" s="18"/>
      <c r="ALY19" s="18"/>
      <c r="ALZ19" s="18"/>
      <c r="AMA19" s="18"/>
      <c r="AMB19" s="18"/>
      <c r="AMC19" s="18"/>
      <c r="AMD19" s="18"/>
    </row>
    <row r="20" customFormat="false" ht="15" hidden="false" customHeight="true" outlineLevel="0" collapsed="false">
      <c r="A20" s="18"/>
      <c r="B20" s="119" t="str">
        <f aca="false">'Base Novo Hamburgo'!B12</f>
        <v>APS DOIS IRMÃOS</v>
      </c>
      <c r="C20" s="273" t="n">
        <f aca="false">VLOOKUP(B20,Unidades!$D$5:$G$35,4,)</f>
        <v>0.02</v>
      </c>
      <c r="D20" s="274" t="n">
        <f aca="false">'Base Novo Hamburgo'!AD12*12+'Base Novo Hamburgo'!AE12*4+'Base Novo Hamburgo'!AF12*2+'Base Novo Hamburgo'!AG12</f>
        <v>7861.53735289878</v>
      </c>
      <c r="E20" s="274" t="n">
        <f aca="false">'Base Novo Hamburgo'!AK12*12+'Base Novo Hamburgo'!AL12*4+'Base Novo Hamburgo'!AM12*2+'Base Novo Hamburgo'!AN12</f>
        <v>9989.65551432848</v>
      </c>
      <c r="IO20" s="18"/>
      <c r="IP20" s="18"/>
      <c r="IQ20" s="18"/>
      <c r="IR20" s="18"/>
      <c r="IS20" s="18"/>
      <c r="IT20" s="18"/>
      <c r="IU20" s="18"/>
      <c r="IV20" s="18"/>
      <c r="IW20" s="18"/>
      <c r="IX20" s="18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  <c r="KV20" s="18"/>
      <c r="KW20" s="18"/>
      <c r="KX20" s="18"/>
      <c r="KY20" s="18"/>
      <c r="KZ20" s="18"/>
      <c r="LA20" s="18"/>
      <c r="LB20" s="18"/>
      <c r="LC20" s="18"/>
      <c r="LD20" s="18"/>
      <c r="LE20" s="18"/>
      <c r="LF20" s="18"/>
      <c r="LG20" s="18"/>
      <c r="LH20" s="18"/>
      <c r="LI20" s="18"/>
      <c r="LJ20" s="18"/>
      <c r="LK20" s="18"/>
      <c r="LL20" s="18"/>
      <c r="LM20" s="18"/>
      <c r="LN20" s="18"/>
      <c r="LO20" s="18"/>
      <c r="LP20" s="18"/>
      <c r="LQ20" s="18"/>
      <c r="LR20" s="18"/>
      <c r="LS20" s="18"/>
      <c r="LT20" s="18"/>
      <c r="LU20" s="18"/>
      <c r="LV20" s="18"/>
      <c r="LW20" s="18"/>
      <c r="LX20" s="18"/>
      <c r="LY20" s="18"/>
      <c r="LZ20" s="18"/>
      <c r="MA20" s="18"/>
      <c r="MB20" s="18"/>
      <c r="MC20" s="18"/>
      <c r="MD20" s="18"/>
      <c r="ME20" s="18"/>
      <c r="MF20" s="18"/>
      <c r="MG20" s="18"/>
      <c r="MH20" s="18"/>
      <c r="MI20" s="18"/>
      <c r="MJ20" s="18"/>
      <c r="MK20" s="18"/>
      <c r="ML20" s="18"/>
      <c r="MM20" s="18"/>
      <c r="MN20" s="18"/>
      <c r="MO20" s="18"/>
      <c r="MP20" s="18"/>
      <c r="MQ20" s="18"/>
      <c r="MR20" s="18"/>
      <c r="MS20" s="18"/>
      <c r="MT20" s="18"/>
      <c r="MU20" s="18"/>
      <c r="MV20" s="18"/>
      <c r="MW20" s="18"/>
      <c r="MX20" s="18"/>
      <c r="MY20" s="18"/>
      <c r="MZ20" s="18"/>
      <c r="NA20" s="18"/>
      <c r="NB20" s="18"/>
      <c r="NC20" s="18"/>
      <c r="ND20" s="18"/>
      <c r="NE20" s="18"/>
      <c r="NF20" s="18"/>
      <c r="NG20" s="18"/>
      <c r="NH20" s="18"/>
      <c r="NI20" s="18"/>
      <c r="NJ20" s="18"/>
      <c r="NK20" s="18"/>
      <c r="NL20" s="18"/>
      <c r="NM20" s="18"/>
      <c r="NN20" s="18"/>
      <c r="NO20" s="18"/>
      <c r="NP20" s="18"/>
      <c r="NQ20" s="18"/>
      <c r="NR20" s="18"/>
      <c r="NS20" s="18"/>
      <c r="NT20" s="18"/>
      <c r="NU20" s="18"/>
      <c r="NV20" s="18"/>
      <c r="NW20" s="18"/>
      <c r="NX20" s="18"/>
      <c r="NY20" s="18"/>
      <c r="NZ20" s="18"/>
      <c r="OA20" s="18"/>
      <c r="OB20" s="18"/>
      <c r="OC20" s="18"/>
      <c r="OD20" s="18"/>
      <c r="OE20" s="18"/>
      <c r="OF20" s="18"/>
      <c r="OG20" s="18"/>
      <c r="OH20" s="18"/>
      <c r="OI20" s="18"/>
      <c r="OJ20" s="18"/>
      <c r="OK20" s="18"/>
      <c r="OL20" s="18"/>
      <c r="OM20" s="18"/>
      <c r="ON20" s="18"/>
      <c r="OO20" s="18"/>
      <c r="OP20" s="18"/>
      <c r="OQ20" s="18"/>
      <c r="OR20" s="18"/>
      <c r="OS20" s="18"/>
      <c r="OT20" s="18"/>
      <c r="OU20" s="18"/>
      <c r="OV20" s="18"/>
      <c r="OW20" s="18"/>
      <c r="OX20" s="18"/>
      <c r="OY20" s="18"/>
      <c r="OZ20" s="18"/>
      <c r="PA20" s="18"/>
      <c r="PB20" s="18"/>
      <c r="PC20" s="18"/>
      <c r="PD20" s="18"/>
      <c r="PE20" s="18"/>
      <c r="PF20" s="18"/>
      <c r="PG20" s="18"/>
      <c r="PH20" s="18"/>
      <c r="PI20" s="18"/>
      <c r="PJ20" s="18"/>
      <c r="PK20" s="18"/>
      <c r="PL20" s="18"/>
      <c r="PM20" s="18"/>
      <c r="PN20" s="18"/>
      <c r="PO20" s="18"/>
      <c r="PP20" s="18"/>
      <c r="PQ20" s="18"/>
      <c r="PR20" s="18"/>
      <c r="PS20" s="18"/>
      <c r="PT20" s="18"/>
      <c r="PU20" s="18"/>
      <c r="PV20" s="18"/>
      <c r="PW20" s="18"/>
      <c r="PX20" s="18"/>
      <c r="PY20" s="18"/>
      <c r="PZ20" s="18"/>
      <c r="QA20" s="18"/>
      <c r="QB20" s="18"/>
      <c r="QC20" s="18"/>
      <c r="QD20" s="18"/>
      <c r="QE20" s="18"/>
      <c r="QF20" s="18"/>
      <c r="QG20" s="18"/>
      <c r="QH20" s="18"/>
      <c r="QI20" s="18"/>
      <c r="QJ20" s="18"/>
      <c r="QK20" s="18"/>
      <c r="QL20" s="18"/>
      <c r="QM20" s="18"/>
      <c r="QN20" s="18"/>
      <c r="QO20" s="18"/>
      <c r="QP20" s="18"/>
      <c r="QQ20" s="18"/>
      <c r="QR20" s="18"/>
      <c r="QS20" s="18"/>
      <c r="QT20" s="18"/>
      <c r="QU20" s="18"/>
      <c r="QV20" s="18"/>
      <c r="QW20" s="18"/>
      <c r="QX20" s="18"/>
      <c r="QY20" s="18"/>
      <c r="QZ20" s="18"/>
      <c r="RA20" s="18"/>
      <c r="RB20" s="18"/>
      <c r="RC20" s="18"/>
      <c r="RD20" s="18"/>
      <c r="RE20" s="18"/>
      <c r="RF20" s="18"/>
      <c r="RG20" s="18"/>
      <c r="RH20" s="18"/>
      <c r="RI20" s="18"/>
      <c r="RJ20" s="18"/>
      <c r="RK20" s="18"/>
      <c r="RL20" s="18"/>
      <c r="RM20" s="18"/>
      <c r="RN20" s="18"/>
      <c r="RO20" s="18"/>
      <c r="RP20" s="18"/>
      <c r="RQ20" s="18"/>
      <c r="RR20" s="18"/>
      <c r="RS20" s="18"/>
      <c r="RT20" s="18"/>
      <c r="RU20" s="18"/>
      <c r="RV20" s="18"/>
      <c r="RW20" s="18"/>
      <c r="RX20" s="18"/>
      <c r="RY20" s="18"/>
      <c r="RZ20" s="18"/>
      <c r="SA20" s="18"/>
      <c r="SB20" s="18"/>
      <c r="SC20" s="18"/>
      <c r="SD20" s="18"/>
      <c r="SE20" s="18"/>
      <c r="SF20" s="18"/>
      <c r="SG20" s="18"/>
      <c r="SH20" s="18"/>
      <c r="SI20" s="18"/>
      <c r="SJ20" s="18"/>
      <c r="SK20" s="18"/>
      <c r="SL20" s="18"/>
      <c r="SM20" s="18"/>
      <c r="SN20" s="18"/>
      <c r="SO20" s="18"/>
      <c r="SP20" s="18"/>
      <c r="SQ20" s="18"/>
      <c r="SR20" s="18"/>
      <c r="SS20" s="18"/>
      <c r="ST20" s="18"/>
      <c r="SU20" s="18"/>
      <c r="SV20" s="18"/>
      <c r="SW20" s="18"/>
      <c r="SX20" s="18"/>
      <c r="SY20" s="18"/>
      <c r="SZ20" s="18"/>
      <c r="TA20" s="18"/>
      <c r="TB20" s="18"/>
      <c r="TC20" s="18"/>
      <c r="TD20" s="18"/>
      <c r="TE20" s="18"/>
      <c r="TF20" s="18"/>
      <c r="TG20" s="18"/>
      <c r="TH20" s="18"/>
      <c r="TI20" s="18"/>
      <c r="TJ20" s="18"/>
      <c r="TK20" s="18"/>
      <c r="TL20" s="18"/>
      <c r="TM20" s="18"/>
      <c r="TN20" s="18"/>
      <c r="TO20" s="18"/>
      <c r="TP20" s="18"/>
      <c r="TQ20" s="18"/>
      <c r="TR20" s="18"/>
      <c r="TS20" s="18"/>
      <c r="TT20" s="18"/>
      <c r="TU20" s="18"/>
      <c r="TV20" s="18"/>
      <c r="TW20" s="18"/>
      <c r="TX20" s="18"/>
      <c r="TY20" s="18"/>
      <c r="TZ20" s="18"/>
      <c r="UA20" s="18"/>
      <c r="UB20" s="18"/>
      <c r="UC20" s="18"/>
      <c r="UD20" s="18"/>
      <c r="UE20" s="18"/>
      <c r="UF20" s="18"/>
      <c r="UG20" s="18"/>
      <c r="UH20" s="18"/>
      <c r="UI20" s="18"/>
      <c r="UJ20" s="18"/>
      <c r="UK20" s="18"/>
      <c r="UL20" s="18"/>
      <c r="UM20" s="18"/>
      <c r="UN20" s="18"/>
      <c r="UO20" s="18"/>
      <c r="UP20" s="18"/>
      <c r="UQ20" s="18"/>
      <c r="UR20" s="18"/>
      <c r="US20" s="18"/>
      <c r="UT20" s="18"/>
      <c r="UU20" s="18"/>
      <c r="UV20" s="18"/>
      <c r="UW20" s="18"/>
      <c r="UX20" s="18"/>
      <c r="UY20" s="18"/>
      <c r="UZ20" s="18"/>
      <c r="VA20" s="18"/>
      <c r="VB20" s="18"/>
      <c r="VC20" s="18"/>
      <c r="VD20" s="18"/>
      <c r="VE20" s="18"/>
      <c r="VF20" s="18"/>
      <c r="VG20" s="18"/>
      <c r="VH20" s="18"/>
      <c r="VI20" s="18"/>
      <c r="VJ20" s="18"/>
      <c r="VK20" s="18"/>
      <c r="VL20" s="18"/>
      <c r="VM20" s="18"/>
      <c r="VN20" s="18"/>
      <c r="VO20" s="18"/>
      <c r="VP20" s="18"/>
      <c r="VQ20" s="18"/>
      <c r="VR20" s="18"/>
      <c r="VS20" s="18"/>
      <c r="VT20" s="18"/>
      <c r="VU20" s="18"/>
      <c r="VV20" s="18"/>
      <c r="VW20" s="18"/>
      <c r="VX20" s="18"/>
      <c r="VY20" s="18"/>
      <c r="VZ20" s="18"/>
      <c r="WA20" s="18"/>
      <c r="WB20" s="18"/>
      <c r="WC20" s="18"/>
      <c r="WD20" s="18"/>
      <c r="WE20" s="18"/>
      <c r="WF20" s="18"/>
      <c r="WG20" s="18"/>
      <c r="WH20" s="18"/>
      <c r="WI20" s="18"/>
      <c r="WJ20" s="18"/>
      <c r="WK20" s="18"/>
      <c r="WL20" s="18"/>
      <c r="WM20" s="18"/>
      <c r="WN20" s="18"/>
      <c r="WO20" s="18"/>
      <c r="WP20" s="18"/>
      <c r="WQ20" s="18"/>
      <c r="WR20" s="18"/>
      <c r="WS20" s="18"/>
      <c r="WT20" s="18"/>
      <c r="WU20" s="18"/>
      <c r="WV20" s="18"/>
      <c r="WW20" s="18"/>
      <c r="WX20" s="18"/>
      <c r="WY20" s="18"/>
      <c r="WZ20" s="18"/>
      <c r="XA20" s="18"/>
      <c r="XB20" s="18"/>
      <c r="XC20" s="18"/>
      <c r="XD20" s="18"/>
      <c r="XE20" s="18"/>
      <c r="XF20" s="18"/>
      <c r="XG20" s="18"/>
      <c r="XH20" s="18"/>
      <c r="XI20" s="18"/>
      <c r="XJ20" s="18"/>
      <c r="XK20" s="18"/>
      <c r="XL20" s="18"/>
      <c r="XM20" s="18"/>
      <c r="XN20" s="18"/>
      <c r="XO20" s="18"/>
      <c r="XP20" s="18"/>
      <c r="XQ20" s="18"/>
      <c r="XR20" s="18"/>
      <c r="XS20" s="18"/>
      <c r="XT20" s="18"/>
      <c r="XU20" s="18"/>
      <c r="XV20" s="18"/>
      <c r="XW20" s="18"/>
      <c r="XX20" s="18"/>
      <c r="XY20" s="18"/>
      <c r="XZ20" s="18"/>
      <c r="YA20" s="18"/>
      <c r="YB20" s="18"/>
      <c r="YC20" s="18"/>
      <c r="YD20" s="18"/>
      <c r="YE20" s="18"/>
      <c r="YF20" s="18"/>
      <c r="YG20" s="18"/>
      <c r="YH20" s="18"/>
      <c r="YI20" s="18"/>
      <c r="YJ20" s="18"/>
      <c r="YK20" s="18"/>
      <c r="YL20" s="18"/>
      <c r="YM20" s="18"/>
      <c r="YN20" s="18"/>
      <c r="YO20" s="18"/>
      <c r="YP20" s="18"/>
      <c r="YQ20" s="18"/>
      <c r="YR20" s="18"/>
      <c r="YS20" s="18"/>
      <c r="YT20" s="18"/>
      <c r="YU20" s="18"/>
      <c r="YV20" s="18"/>
      <c r="YW20" s="18"/>
      <c r="YX20" s="18"/>
      <c r="YY20" s="18"/>
      <c r="YZ20" s="18"/>
      <c r="ZA20" s="18"/>
      <c r="ZB20" s="18"/>
      <c r="ZC20" s="18"/>
      <c r="ZD20" s="18"/>
      <c r="ZE20" s="18"/>
      <c r="ZF20" s="18"/>
      <c r="ZG20" s="18"/>
      <c r="ZH20" s="18"/>
      <c r="ZI20" s="18"/>
      <c r="ZJ20" s="18"/>
      <c r="ZK20" s="18"/>
      <c r="ZL20" s="18"/>
      <c r="ZM20" s="18"/>
      <c r="ZN20" s="18"/>
      <c r="ZO20" s="18"/>
      <c r="ZP20" s="18"/>
      <c r="ZQ20" s="18"/>
      <c r="ZR20" s="18"/>
      <c r="ZS20" s="18"/>
      <c r="ZT20" s="18"/>
      <c r="ZU20" s="18"/>
      <c r="ZV20" s="18"/>
      <c r="ZW20" s="18"/>
      <c r="ZX20" s="18"/>
      <c r="ZY20" s="18"/>
      <c r="ZZ20" s="18"/>
      <c r="AAA20" s="18"/>
      <c r="AAB20" s="18"/>
      <c r="AAC20" s="18"/>
      <c r="AAD20" s="18"/>
      <c r="AAE20" s="18"/>
      <c r="AAF20" s="18"/>
      <c r="AAG20" s="18"/>
      <c r="AAH20" s="18"/>
      <c r="AAI20" s="18"/>
      <c r="AAJ20" s="18"/>
      <c r="AAK20" s="18"/>
      <c r="AAL20" s="18"/>
      <c r="AAM20" s="18"/>
      <c r="AAN20" s="18"/>
      <c r="AAO20" s="18"/>
      <c r="AAP20" s="18"/>
      <c r="AAQ20" s="18"/>
      <c r="AAR20" s="18"/>
      <c r="AAS20" s="18"/>
      <c r="AAT20" s="18"/>
      <c r="AAU20" s="18"/>
      <c r="AAV20" s="18"/>
      <c r="AAW20" s="18"/>
      <c r="AAX20" s="18"/>
      <c r="AAY20" s="18"/>
      <c r="AAZ20" s="18"/>
      <c r="ABA20" s="18"/>
      <c r="ABB20" s="18"/>
      <c r="ABC20" s="18"/>
      <c r="ABD20" s="18"/>
      <c r="ABE20" s="18"/>
      <c r="ABF20" s="18"/>
      <c r="ABG20" s="18"/>
      <c r="ABH20" s="18"/>
      <c r="ABI20" s="18"/>
      <c r="ABJ20" s="18"/>
      <c r="ABK20" s="18"/>
      <c r="ABL20" s="18"/>
      <c r="ABM20" s="18"/>
      <c r="ABN20" s="18"/>
      <c r="ABO20" s="18"/>
      <c r="ABP20" s="18"/>
      <c r="ABQ20" s="18"/>
      <c r="ABR20" s="18"/>
      <c r="ABS20" s="18"/>
      <c r="ABT20" s="18"/>
      <c r="ABU20" s="18"/>
      <c r="ABV20" s="18"/>
      <c r="ABW20" s="18"/>
      <c r="ABX20" s="18"/>
      <c r="ABY20" s="18"/>
      <c r="ABZ20" s="18"/>
      <c r="ACA20" s="18"/>
      <c r="ACB20" s="18"/>
      <c r="ACC20" s="18"/>
      <c r="ACD20" s="18"/>
      <c r="ACE20" s="18"/>
      <c r="ACF20" s="18"/>
      <c r="ACG20" s="18"/>
      <c r="ACH20" s="18"/>
      <c r="ACI20" s="18"/>
      <c r="ACJ20" s="18"/>
      <c r="ACK20" s="18"/>
      <c r="ACL20" s="18"/>
      <c r="ACM20" s="18"/>
      <c r="ACN20" s="18"/>
      <c r="ACO20" s="18"/>
      <c r="ACP20" s="18"/>
      <c r="ACQ20" s="18"/>
      <c r="ACR20" s="18"/>
      <c r="ACS20" s="18"/>
      <c r="ACT20" s="18"/>
      <c r="ACU20" s="18"/>
      <c r="ACV20" s="18"/>
      <c r="ACW20" s="18"/>
      <c r="ACX20" s="18"/>
      <c r="ACY20" s="18"/>
      <c r="ACZ20" s="18"/>
      <c r="ADA20" s="18"/>
      <c r="ADB20" s="18"/>
      <c r="ADC20" s="18"/>
      <c r="ADD20" s="18"/>
      <c r="ADE20" s="18"/>
      <c r="ADF20" s="18"/>
      <c r="ADG20" s="18"/>
      <c r="ADH20" s="18"/>
      <c r="ADI20" s="18"/>
      <c r="ADJ20" s="18"/>
      <c r="ADK20" s="18"/>
      <c r="ADL20" s="18"/>
      <c r="ADM20" s="18"/>
      <c r="ADN20" s="18"/>
      <c r="ADO20" s="18"/>
      <c r="ADP20" s="18"/>
      <c r="ADQ20" s="18"/>
      <c r="ADR20" s="18"/>
      <c r="ADS20" s="18"/>
      <c r="ADT20" s="18"/>
      <c r="ADU20" s="18"/>
      <c r="ADV20" s="18"/>
      <c r="ADW20" s="18"/>
      <c r="ADX20" s="18"/>
      <c r="ADY20" s="18"/>
      <c r="ADZ20" s="18"/>
      <c r="AEA20" s="18"/>
      <c r="AEB20" s="18"/>
      <c r="AEC20" s="18"/>
      <c r="AED20" s="18"/>
      <c r="AEE20" s="18"/>
      <c r="AEF20" s="18"/>
      <c r="AEG20" s="18"/>
      <c r="AEH20" s="18"/>
      <c r="AEI20" s="18"/>
      <c r="AEJ20" s="18"/>
      <c r="AEK20" s="18"/>
      <c r="AEL20" s="18"/>
      <c r="AEM20" s="18"/>
      <c r="AEN20" s="18"/>
      <c r="AEO20" s="18"/>
      <c r="AEP20" s="18"/>
      <c r="AEQ20" s="18"/>
      <c r="AER20" s="18"/>
      <c r="AES20" s="18"/>
      <c r="AET20" s="18"/>
      <c r="AEU20" s="18"/>
      <c r="AEV20" s="18"/>
      <c r="AEW20" s="18"/>
      <c r="AEX20" s="18"/>
      <c r="AEY20" s="18"/>
      <c r="AEZ20" s="18"/>
      <c r="AFA20" s="18"/>
      <c r="AFB20" s="18"/>
      <c r="AFC20" s="18"/>
      <c r="AFD20" s="18"/>
      <c r="AFE20" s="18"/>
      <c r="AFF20" s="18"/>
      <c r="AFG20" s="18"/>
      <c r="AFH20" s="18"/>
      <c r="AFI20" s="18"/>
      <c r="AFJ20" s="18"/>
      <c r="AFK20" s="18"/>
      <c r="AFL20" s="18"/>
      <c r="AFM20" s="18"/>
      <c r="AFN20" s="18"/>
      <c r="AFO20" s="18"/>
      <c r="AFP20" s="18"/>
      <c r="AFQ20" s="18"/>
      <c r="AFR20" s="18"/>
      <c r="AFS20" s="18"/>
      <c r="AFT20" s="18"/>
      <c r="AFU20" s="18"/>
      <c r="AFV20" s="18"/>
      <c r="AFW20" s="18"/>
      <c r="AFX20" s="18"/>
      <c r="AFY20" s="18"/>
      <c r="AFZ20" s="18"/>
      <c r="AGA20" s="18"/>
      <c r="AGB20" s="18"/>
      <c r="AGC20" s="18"/>
      <c r="AGD20" s="18"/>
      <c r="AGE20" s="18"/>
      <c r="AGF20" s="18"/>
      <c r="AGG20" s="18"/>
      <c r="AGH20" s="18"/>
      <c r="AGI20" s="18"/>
      <c r="AGJ20" s="18"/>
      <c r="AGK20" s="18"/>
      <c r="AGL20" s="18"/>
      <c r="AGM20" s="18"/>
      <c r="AGN20" s="18"/>
      <c r="AGO20" s="18"/>
      <c r="AGP20" s="18"/>
      <c r="AGQ20" s="18"/>
      <c r="AGR20" s="18"/>
      <c r="AGS20" s="18"/>
      <c r="AGT20" s="18"/>
      <c r="AGU20" s="18"/>
      <c r="AGV20" s="18"/>
      <c r="AGW20" s="18"/>
      <c r="AGX20" s="18"/>
      <c r="AGY20" s="18"/>
      <c r="AGZ20" s="18"/>
      <c r="AHA20" s="18"/>
      <c r="AHB20" s="18"/>
      <c r="AHC20" s="18"/>
      <c r="AHD20" s="18"/>
      <c r="AHE20" s="18"/>
      <c r="AHF20" s="18"/>
      <c r="AHG20" s="18"/>
      <c r="AHH20" s="18"/>
      <c r="AHI20" s="18"/>
      <c r="AHJ20" s="18"/>
      <c r="AHK20" s="18"/>
      <c r="AHL20" s="18"/>
      <c r="AHM20" s="18"/>
      <c r="AHN20" s="18"/>
      <c r="AHO20" s="18"/>
      <c r="AHP20" s="18"/>
      <c r="AHQ20" s="18"/>
      <c r="AHR20" s="18"/>
      <c r="AHS20" s="18"/>
      <c r="AHT20" s="18"/>
      <c r="AHU20" s="18"/>
      <c r="AHV20" s="18"/>
      <c r="AHW20" s="18"/>
      <c r="AHX20" s="18"/>
      <c r="AHY20" s="18"/>
      <c r="AHZ20" s="18"/>
      <c r="AIA20" s="18"/>
      <c r="AIB20" s="18"/>
      <c r="AIC20" s="18"/>
      <c r="AID20" s="18"/>
      <c r="AIE20" s="18"/>
      <c r="AIF20" s="18"/>
      <c r="AIG20" s="18"/>
      <c r="AIH20" s="18"/>
      <c r="AII20" s="18"/>
      <c r="AIJ20" s="18"/>
      <c r="AIK20" s="18"/>
      <c r="AIL20" s="18"/>
      <c r="AIM20" s="18"/>
      <c r="AIN20" s="18"/>
      <c r="AIO20" s="18"/>
      <c r="AIP20" s="18"/>
      <c r="AIQ20" s="18"/>
      <c r="AIR20" s="18"/>
      <c r="AIS20" s="18"/>
      <c r="AIT20" s="18"/>
      <c r="AIU20" s="18"/>
      <c r="AIV20" s="18"/>
      <c r="AIW20" s="18"/>
      <c r="AIX20" s="18"/>
      <c r="AIY20" s="18"/>
      <c r="AIZ20" s="18"/>
      <c r="AJA20" s="18"/>
      <c r="AJB20" s="18"/>
      <c r="AJC20" s="18"/>
      <c r="AJD20" s="18"/>
      <c r="AJE20" s="18"/>
      <c r="AJF20" s="18"/>
      <c r="AJG20" s="18"/>
      <c r="AJH20" s="18"/>
      <c r="AJI20" s="18"/>
      <c r="AJJ20" s="18"/>
      <c r="AJK20" s="18"/>
      <c r="AJL20" s="18"/>
      <c r="AJM20" s="18"/>
      <c r="AJN20" s="18"/>
      <c r="AJO20" s="18"/>
      <c r="AJP20" s="18"/>
      <c r="AJQ20" s="18"/>
      <c r="AJR20" s="18"/>
      <c r="AJS20" s="18"/>
      <c r="AJT20" s="18"/>
      <c r="AJU20" s="18"/>
      <c r="AJV20" s="18"/>
      <c r="AJW20" s="18"/>
      <c r="AJX20" s="18"/>
      <c r="AJY20" s="18"/>
      <c r="AJZ20" s="18"/>
      <c r="AKA20" s="18"/>
      <c r="AKB20" s="18"/>
      <c r="AKC20" s="18"/>
      <c r="AKD20" s="18"/>
      <c r="AKE20" s="18"/>
      <c r="AKF20" s="18"/>
      <c r="AKG20" s="18"/>
      <c r="AKH20" s="18"/>
      <c r="AKI20" s="18"/>
      <c r="AKJ20" s="18"/>
      <c r="AKK20" s="18"/>
      <c r="AKL20" s="18"/>
      <c r="AKM20" s="18"/>
      <c r="AKN20" s="18"/>
      <c r="AKO20" s="18"/>
      <c r="AKP20" s="18"/>
      <c r="AKQ20" s="18"/>
      <c r="AKR20" s="18"/>
      <c r="AKS20" s="18"/>
      <c r="AKT20" s="18"/>
      <c r="AKU20" s="18"/>
      <c r="AKV20" s="18"/>
      <c r="AKW20" s="18"/>
      <c r="AKX20" s="18"/>
      <c r="AKY20" s="18"/>
      <c r="AKZ20" s="18"/>
      <c r="ALA20" s="18"/>
      <c r="ALB20" s="18"/>
      <c r="ALC20" s="18"/>
      <c r="ALD20" s="18"/>
      <c r="ALE20" s="18"/>
      <c r="ALF20" s="18"/>
      <c r="ALG20" s="18"/>
      <c r="ALH20" s="18"/>
      <c r="ALI20" s="18"/>
      <c r="ALJ20" s="18"/>
      <c r="ALK20" s="18"/>
      <c r="ALL20" s="18"/>
      <c r="ALM20" s="18"/>
      <c r="ALN20" s="18"/>
      <c r="ALO20" s="18"/>
      <c r="ALP20" s="18"/>
      <c r="ALQ20" s="18"/>
      <c r="ALR20" s="18"/>
      <c r="ALS20" s="18"/>
      <c r="ALT20" s="18"/>
      <c r="ALU20" s="18"/>
      <c r="ALV20" s="18"/>
      <c r="ALW20" s="18"/>
      <c r="ALX20" s="18"/>
      <c r="ALY20" s="18"/>
      <c r="ALZ20" s="18"/>
      <c r="AMA20" s="18"/>
      <c r="AMB20" s="18"/>
      <c r="AMC20" s="18"/>
      <c r="AMD20" s="18"/>
    </row>
    <row r="21" customFormat="false" ht="15" hidden="false" customHeight="true" outlineLevel="0" collapsed="false">
      <c r="A21" s="31"/>
      <c r="B21" s="119" t="str">
        <f aca="false">'Base Novo Hamburgo'!B13</f>
        <v>APS SAPIRANGA</v>
      </c>
      <c r="C21" s="273" t="n">
        <f aca="false">VLOOKUP(B21,Unidades!$D$5:$G$35,4,)</f>
        <v>0.02</v>
      </c>
      <c r="D21" s="274" t="n">
        <f aca="false">'Base Novo Hamburgo'!AD13*12+'Base Novo Hamburgo'!AE13*4+'Base Novo Hamburgo'!AF13*2+'Base Novo Hamburgo'!AG13</f>
        <v>9963.64878036943</v>
      </c>
      <c r="E21" s="274" t="n">
        <f aca="false">'Base Novo Hamburgo'!AK13*12+'Base Novo Hamburgo'!AL13*4+'Base Novo Hamburgo'!AM13*2+'Base Novo Hamburgo'!AN13</f>
        <v>12660.8085052154</v>
      </c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1"/>
      <c r="CP21" s="31"/>
      <c r="CQ21" s="31"/>
      <c r="CR21" s="31"/>
      <c r="CS21" s="31"/>
      <c r="CT21" s="31"/>
      <c r="CU21" s="31"/>
      <c r="CV21" s="31"/>
      <c r="CW21" s="31"/>
      <c r="CX21" s="31"/>
      <c r="CY21" s="31"/>
      <c r="CZ21" s="31"/>
      <c r="DA21" s="31"/>
      <c r="DB21" s="31"/>
      <c r="DC21" s="31"/>
      <c r="DD21" s="31"/>
      <c r="DE21" s="31"/>
      <c r="DF21" s="31"/>
      <c r="DG21" s="31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  <c r="IU21" s="31"/>
      <c r="IV21" s="31"/>
      <c r="IW21" s="31"/>
      <c r="IX21" s="31"/>
      <c r="IY21" s="31"/>
      <c r="IZ21" s="31"/>
      <c r="JA21" s="31"/>
      <c r="JB21" s="31"/>
      <c r="JC21" s="31"/>
      <c r="JD21" s="31"/>
      <c r="JE21" s="31"/>
      <c r="JF21" s="31"/>
      <c r="JG21" s="31"/>
      <c r="JH21" s="31"/>
      <c r="JI21" s="31"/>
      <c r="JJ21" s="31"/>
      <c r="JK21" s="31"/>
      <c r="JL21" s="31"/>
      <c r="JM21" s="31"/>
      <c r="JN21" s="31"/>
      <c r="JO21" s="31"/>
      <c r="JP21" s="31"/>
      <c r="JQ21" s="31"/>
      <c r="JR21" s="31"/>
      <c r="JS21" s="31"/>
      <c r="JT21" s="31"/>
      <c r="JU21" s="31"/>
      <c r="JV21" s="31"/>
      <c r="JW21" s="31"/>
      <c r="JX21" s="31"/>
      <c r="JY21" s="31"/>
      <c r="JZ21" s="31"/>
      <c r="KA21" s="31"/>
      <c r="KB21" s="31"/>
      <c r="KC21" s="31"/>
      <c r="KD21" s="31"/>
      <c r="KE21" s="31"/>
      <c r="KF21" s="31"/>
      <c r="KG21" s="31"/>
      <c r="KH21" s="31"/>
      <c r="KI21" s="31"/>
      <c r="KJ21" s="31"/>
      <c r="KK21" s="31"/>
      <c r="KL21" s="31"/>
      <c r="KM21" s="31"/>
      <c r="KN21" s="31"/>
      <c r="KO21" s="31"/>
      <c r="KP21" s="31"/>
      <c r="KQ21" s="31"/>
      <c r="KR21" s="31"/>
      <c r="KS21" s="31"/>
      <c r="KT21" s="31"/>
      <c r="KU21" s="31"/>
      <c r="KV21" s="31"/>
      <c r="KW21" s="31"/>
      <c r="KX21" s="31"/>
      <c r="KY21" s="31"/>
      <c r="KZ21" s="31"/>
      <c r="LA21" s="31"/>
      <c r="LB21" s="31"/>
      <c r="LC21" s="31"/>
      <c r="LD21" s="31"/>
      <c r="LE21" s="31"/>
      <c r="LF21" s="31"/>
      <c r="LG21" s="31"/>
      <c r="LH21" s="31"/>
      <c r="LI21" s="31"/>
      <c r="LJ21" s="31"/>
      <c r="LK21" s="31"/>
      <c r="LL21" s="31"/>
      <c r="LM21" s="31"/>
      <c r="LN21" s="31"/>
      <c r="LO21" s="31"/>
      <c r="LP21" s="31"/>
      <c r="LQ21" s="31"/>
      <c r="LR21" s="31"/>
      <c r="LS21" s="31"/>
      <c r="LT21" s="31"/>
      <c r="LU21" s="31"/>
      <c r="LV21" s="31"/>
      <c r="LW21" s="31"/>
      <c r="LX21" s="31"/>
      <c r="LY21" s="31"/>
      <c r="LZ21" s="31"/>
      <c r="MA21" s="31"/>
      <c r="MB21" s="31"/>
      <c r="MC21" s="31"/>
      <c r="MD21" s="31"/>
      <c r="ME21" s="31"/>
      <c r="MF21" s="31"/>
      <c r="MG21" s="31"/>
      <c r="MH21" s="31"/>
      <c r="MI21" s="31"/>
      <c r="MJ21" s="31"/>
      <c r="MK21" s="31"/>
      <c r="ML21" s="31"/>
      <c r="MM21" s="31"/>
      <c r="MN21" s="31"/>
      <c r="MO21" s="31"/>
      <c r="MP21" s="31"/>
      <c r="MQ21" s="31"/>
      <c r="MR21" s="31"/>
      <c r="MS21" s="31"/>
      <c r="MT21" s="31"/>
      <c r="MU21" s="31"/>
      <c r="MV21" s="31"/>
      <c r="MW21" s="31"/>
      <c r="MX21" s="31"/>
      <c r="MY21" s="31"/>
      <c r="MZ21" s="31"/>
      <c r="NA21" s="31"/>
      <c r="NB21" s="31"/>
      <c r="NC21" s="31"/>
      <c r="ND21" s="31"/>
      <c r="NE21" s="31"/>
      <c r="NF21" s="31"/>
      <c r="NG21" s="31"/>
      <c r="NH21" s="31"/>
      <c r="NI21" s="31"/>
      <c r="NJ21" s="31"/>
      <c r="NK21" s="31"/>
      <c r="NL21" s="31"/>
      <c r="NM21" s="31"/>
      <c r="NN21" s="31"/>
      <c r="NO21" s="31"/>
      <c r="NP21" s="31"/>
      <c r="NQ21" s="31"/>
      <c r="NR21" s="31"/>
      <c r="NS21" s="31"/>
      <c r="NT21" s="31"/>
      <c r="NU21" s="31"/>
      <c r="NV21" s="31"/>
      <c r="NW21" s="31"/>
      <c r="NX21" s="31"/>
      <c r="NY21" s="31"/>
      <c r="NZ21" s="31"/>
      <c r="OA21" s="31"/>
      <c r="OB21" s="31"/>
      <c r="OC21" s="31"/>
      <c r="OD21" s="31"/>
      <c r="OE21" s="31"/>
      <c r="OF21" s="31"/>
      <c r="OG21" s="31"/>
      <c r="OH21" s="31"/>
      <c r="OI21" s="31"/>
      <c r="OJ21" s="31"/>
      <c r="OK21" s="31"/>
      <c r="OL21" s="31"/>
      <c r="OM21" s="31"/>
      <c r="ON21" s="31"/>
      <c r="OO21" s="31"/>
      <c r="OP21" s="31"/>
      <c r="OQ21" s="31"/>
      <c r="OR21" s="31"/>
      <c r="OS21" s="31"/>
      <c r="OT21" s="31"/>
      <c r="OU21" s="31"/>
      <c r="OV21" s="31"/>
      <c r="OW21" s="31"/>
      <c r="OX21" s="31"/>
      <c r="OY21" s="31"/>
      <c r="OZ21" s="31"/>
      <c r="PA21" s="31"/>
      <c r="PB21" s="31"/>
      <c r="PC21" s="31"/>
      <c r="PD21" s="31"/>
      <c r="PE21" s="31"/>
      <c r="PF21" s="31"/>
      <c r="PG21" s="31"/>
      <c r="PH21" s="31"/>
      <c r="PI21" s="31"/>
      <c r="PJ21" s="31"/>
      <c r="PK21" s="31"/>
      <c r="PL21" s="31"/>
      <c r="PM21" s="31"/>
      <c r="PN21" s="31"/>
      <c r="PO21" s="31"/>
      <c r="PP21" s="31"/>
      <c r="PQ21" s="31"/>
      <c r="PR21" s="31"/>
      <c r="PS21" s="31"/>
      <c r="PT21" s="31"/>
      <c r="PU21" s="31"/>
      <c r="PV21" s="31"/>
      <c r="PW21" s="31"/>
      <c r="PX21" s="31"/>
      <c r="PY21" s="31"/>
      <c r="PZ21" s="31"/>
      <c r="QA21" s="31"/>
      <c r="QB21" s="31"/>
      <c r="QC21" s="31"/>
      <c r="QD21" s="31"/>
      <c r="QE21" s="31"/>
      <c r="QF21" s="31"/>
      <c r="QG21" s="31"/>
      <c r="QH21" s="31"/>
      <c r="QI21" s="31"/>
      <c r="QJ21" s="31"/>
      <c r="QK21" s="31"/>
      <c r="QL21" s="31"/>
      <c r="QM21" s="31"/>
      <c r="QN21" s="31"/>
      <c r="QO21" s="31"/>
      <c r="QP21" s="31"/>
      <c r="QQ21" s="31"/>
      <c r="QR21" s="31"/>
      <c r="QS21" s="31"/>
      <c r="QT21" s="31"/>
      <c r="QU21" s="31"/>
      <c r="QV21" s="31"/>
      <c r="QW21" s="31"/>
      <c r="QX21" s="31"/>
      <c r="QY21" s="31"/>
      <c r="QZ21" s="31"/>
      <c r="RA21" s="31"/>
      <c r="RB21" s="31"/>
      <c r="RC21" s="31"/>
      <c r="RD21" s="31"/>
      <c r="RE21" s="31"/>
      <c r="RF21" s="31"/>
      <c r="RG21" s="31"/>
      <c r="RH21" s="31"/>
      <c r="RI21" s="31"/>
      <c r="RJ21" s="31"/>
      <c r="RK21" s="31"/>
      <c r="RL21" s="31"/>
      <c r="RM21" s="31"/>
      <c r="RN21" s="31"/>
      <c r="RO21" s="31"/>
      <c r="RP21" s="31"/>
      <c r="RQ21" s="31"/>
      <c r="RR21" s="31"/>
      <c r="RS21" s="31"/>
      <c r="RT21" s="31"/>
      <c r="RU21" s="31"/>
      <c r="RV21" s="31"/>
      <c r="RW21" s="31"/>
      <c r="RX21" s="31"/>
      <c r="RY21" s="31"/>
      <c r="RZ21" s="31"/>
      <c r="SA21" s="31"/>
      <c r="SB21" s="31"/>
      <c r="SC21" s="31"/>
      <c r="SD21" s="31"/>
      <c r="SE21" s="31"/>
      <c r="SF21" s="31"/>
      <c r="SG21" s="31"/>
      <c r="SH21" s="31"/>
      <c r="SI21" s="31"/>
      <c r="SJ21" s="31"/>
      <c r="SK21" s="31"/>
      <c r="SL21" s="31"/>
      <c r="SM21" s="31"/>
      <c r="SN21" s="31"/>
      <c r="SO21" s="31"/>
      <c r="SP21" s="31"/>
      <c r="SQ21" s="31"/>
      <c r="SR21" s="31"/>
      <c r="SS21" s="31"/>
      <c r="ST21" s="31"/>
      <c r="SU21" s="31"/>
      <c r="SV21" s="31"/>
      <c r="SW21" s="31"/>
      <c r="SX21" s="31"/>
      <c r="SY21" s="31"/>
      <c r="SZ21" s="31"/>
      <c r="TA21" s="31"/>
      <c r="TB21" s="31"/>
      <c r="TC21" s="31"/>
      <c r="TD21" s="31"/>
      <c r="TE21" s="31"/>
      <c r="TF21" s="31"/>
      <c r="TG21" s="31"/>
      <c r="TH21" s="31"/>
      <c r="TI21" s="31"/>
      <c r="TJ21" s="31"/>
      <c r="TK21" s="31"/>
      <c r="TL21" s="31"/>
      <c r="TM21" s="31"/>
      <c r="TN21" s="31"/>
      <c r="TO21" s="31"/>
      <c r="TP21" s="31"/>
      <c r="TQ21" s="31"/>
      <c r="TR21" s="31"/>
      <c r="TS21" s="31"/>
      <c r="TT21" s="31"/>
      <c r="TU21" s="31"/>
      <c r="TV21" s="31"/>
      <c r="TW21" s="31"/>
      <c r="TX21" s="31"/>
      <c r="TY21" s="31"/>
      <c r="TZ21" s="31"/>
      <c r="UA21" s="31"/>
      <c r="UB21" s="31"/>
      <c r="UC21" s="31"/>
      <c r="UD21" s="31"/>
      <c r="UE21" s="31"/>
      <c r="UF21" s="31"/>
      <c r="UG21" s="31"/>
      <c r="UH21" s="31"/>
      <c r="UI21" s="31"/>
      <c r="UJ21" s="31"/>
      <c r="UK21" s="31"/>
      <c r="UL21" s="31"/>
      <c r="UM21" s="31"/>
      <c r="UN21" s="31"/>
      <c r="UO21" s="31"/>
      <c r="UP21" s="31"/>
      <c r="UQ21" s="31"/>
      <c r="UR21" s="31"/>
      <c r="US21" s="31"/>
      <c r="UT21" s="31"/>
      <c r="UU21" s="31"/>
      <c r="UV21" s="31"/>
      <c r="UW21" s="31"/>
      <c r="UX21" s="31"/>
      <c r="UY21" s="31"/>
      <c r="UZ21" s="31"/>
      <c r="VA21" s="31"/>
      <c r="VB21" s="31"/>
      <c r="VC21" s="31"/>
      <c r="VD21" s="31"/>
      <c r="VE21" s="31"/>
      <c r="VF21" s="31"/>
      <c r="VG21" s="31"/>
      <c r="VH21" s="31"/>
      <c r="VI21" s="31"/>
      <c r="VJ21" s="31"/>
      <c r="VK21" s="31"/>
      <c r="VL21" s="31"/>
      <c r="VM21" s="31"/>
      <c r="VN21" s="31"/>
      <c r="VO21" s="31"/>
      <c r="VP21" s="31"/>
      <c r="VQ21" s="31"/>
      <c r="VR21" s="31"/>
      <c r="VS21" s="31"/>
      <c r="VT21" s="31"/>
      <c r="VU21" s="31"/>
      <c r="VV21" s="31"/>
      <c r="VW21" s="31"/>
      <c r="VX21" s="31"/>
      <c r="VY21" s="31"/>
      <c r="VZ21" s="31"/>
      <c r="WA21" s="31"/>
      <c r="WB21" s="31"/>
      <c r="WC21" s="31"/>
      <c r="WD21" s="31"/>
      <c r="WE21" s="31"/>
      <c r="WF21" s="31"/>
      <c r="WG21" s="31"/>
      <c r="WH21" s="31"/>
      <c r="WI21" s="31"/>
      <c r="WJ21" s="31"/>
      <c r="WK21" s="31"/>
      <c r="WL21" s="31"/>
      <c r="WM21" s="31"/>
      <c r="WN21" s="31"/>
      <c r="WO21" s="31"/>
      <c r="WP21" s="31"/>
      <c r="WQ21" s="31"/>
      <c r="WR21" s="31"/>
      <c r="WS21" s="31"/>
      <c r="WT21" s="31"/>
      <c r="WU21" s="31"/>
      <c r="WV21" s="31"/>
      <c r="WW21" s="31"/>
      <c r="WX21" s="31"/>
      <c r="WY21" s="31"/>
      <c r="WZ21" s="31"/>
      <c r="XA21" s="31"/>
      <c r="XB21" s="31"/>
      <c r="XC21" s="31"/>
      <c r="XD21" s="31"/>
      <c r="XE21" s="31"/>
      <c r="XF21" s="31"/>
      <c r="XG21" s="31"/>
      <c r="XH21" s="31"/>
      <c r="XI21" s="31"/>
      <c r="XJ21" s="31"/>
      <c r="XK21" s="31"/>
      <c r="XL21" s="31"/>
      <c r="XM21" s="31"/>
      <c r="XN21" s="31"/>
      <c r="XO21" s="31"/>
      <c r="XP21" s="31"/>
      <c r="XQ21" s="31"/>
      <c r="XR21" s="31"/>
      <c r="XS21" s="31"/>
      <c r="XT21" s="31"/>
      <c r="XU21" s="31"/>
      <c r="XV21" s="31"/>
      <c r="XW21" s="31"/>
      <c r="XX21" s="31"/>
      <c r="XY21" s="31"/>
      <c r="XZ21" s="31"/>
      <c r="YA21" s="31"/>
      <c r="YB21" s="31"/>
      <c r="YC21" s="31"/>
      <c r="YD21" s="31"/>
      <c r="YE21" s="31"/>
      <c r="YF21" s="31"/>
      <c r="YG21" s="31"/>
      <c r="YH21" s="31"/>
      <c r="YI21" s="31"/>
      <c r="YJ21" s="31"/>
      <c r="YK21" s="31"/>
      <c r="YL21" s="31"/>
      <c r="YM21" s="31"/>
      <c r="YN21" s="31"/>
      <c r="YO21" s="31"/>
      <c r="YP21" s="31"/>
      <c r="YQ21" s="31"/>
      <c r="YR21" s="31"/>
      <c r="YS21" s="31"/>
      <c r="YT21" s="31"/>
      <c r="YU21" s="31"/>
      <c r="YV21" s="31"/>
      <c r="YW21" s="31"/>
      <c r="YX21" s="31"/>
      <c r="YY21" s="31"/>
      <c r="YZ21" s="31"/>
      <c r="ZA21" s="31"/>
      <c r="ZB21" s="31"/>
      <c r="ZC21" s="31"/>
      <c r="ZD21" s="31"/>
      <c r="ZE21" s="31"/>
      <c r="ZF21" s="31"/>
      <c r="ZG21" s="31"/>
      <c r="ZH21" s="31"/>
      <c r="ZI21" s="31"/>
      <c r="ZJ21" s="31"/>
      <c r="ZK21" s="31"/>
      <c r="ZL21" s="31"/>
      <c r="ZM21" s="31"/>
      <c r="ZN21" s="31"/>
      <c r="ZO21" s="31"/>
      <c r="ZP21" s="31"/>
      <c r="ZQ21" s="31"/>
      <c r="ZR21" s="31"/>
      <c r="ZS21" s="31"/>
      <c r="ZT21" s="31"/>
      <c r="ZU21" s="31"/>
      <c r="ZV21" s="31"/>
      <c r="ZW21" s="31"/>
      <c r="ZX21" s="31"/>
      <c r="ZY21" s="31"/>
      <c r="ZZ21" s="31"/>
      <c r="AAA21" s="31"/>
      <c r="AAB21" s="31"/>
      <c r="AAC21" s="31"/>
      <c r="AAD21" s="31"/>
      <c r="AAE21" s="31"/>
      <c r="AAF21" s="31"/>
      <c r="AAG21" s="31"/>
      <c r="AAH21" s="31"/>
      <c r="AAI21" s="31"/>
      <c r="AAJ21" s="31"/>
      <c r="AAK21" s="31"/>
      <c r="AAL21" s="31"/>
      <c r="AAM21" s="31"/>
      <c r="AAN21" s="31"/>
      <c r="AAO21" s="31"/>
      <c r="AAP21" s="31"/>
      <c r="AAQ21" s="31"/>
      <c r="AAR21" s="31"/>
      <c r="AAS21" s="31"/>
      <c r="AAT21" s="31"/>
      <c r="AAU21" s="31"/>
      <c r="AAV21" s="31"/>
      <c r="AAW21" s="31"/>
      <c r="AAX21" s="31"/>
      <c r="AAY21" s="31"/>
      <c r="AAZ21" s="31"/>
      <c r="ABA21" s="31"/>
      <c r="ABB21" s="31"/>
      <c r="ABC21" s="31"/>
      <c r="ABD21" s="31"/>
      <c r="ABE21" s="31"/>
      <c r="ABF21" s="31"/>
      <c r="ABG21" s="31"/>
      <c r="ABH21" s="31"/>
      <c r="ABI21" s="31"/>
      <c r="ABJ21" s="31"/>
      <c r="ABK21" s="31"/>
      <c r="ABL21" s="31"/>
      <c r="ABM21" s="31"/>
      <c r="ABN21" s="31"/>
      <c r="ABO21" s="31"/>
      <c r="ABP21" s="31"/>
      <c r="ABQ21" s="31"/>
      <c r="ABR21" s="31"/>
      <c r="ABS21" s="31"/>
      <c r="ABT21" s="31"/>
      <c r="ABU21" s="31"/>
      <c r="ABV21" s="31"/>
      <c r="ABW21" s="31"/>
      <c r="ABX21" s="31"/>
      <c r="ABY21" s="31"/>
      <c r="ABZ21" s="31"/>
      <c r="ACA21" s="31"/>
      <c r="ACB21" s="31"/>
      <c r="ACC21" s="31"/>
      <c r="ACD21" s="31"/>
      <c r="ACE21" s="31"/>
      <c r="ACF21" s="31"/>
      <c r="ACG21" s="31"/>
      <c r="ACH21" s="31"/>
      <c r="ACI21" s="31"/>
      <c r="ACJ21" s="31"/>
      <c r="ACK21" s="31"/>
      <c r="ACL21" s="31"/>
      <c r="ACM21" s="31"/>
      <c r="ACN21" s="31"/>
      <c r="ACO21" s="31"/>
      <c r="ACP21" s="31"/>
      <c r="ACQ21" s="31"/>
      <c r="ACR21" s="31"/>
      <c r="ACS21" s="31"/>
      <c r="ACT21" s="31"/>
      <c r="ACU21" s="31"/>
      <c r="ACV21" s="31"/>
      <c r="ACW21" s="31"/>
      <c r="ACX21" s="31"/>
      <c r="ACY21" s="31"/>
      <c r="ACZ21" s="31"/>
      <c r="ADA21" s="31"/>
      <c r="ADB21" s="31"/>
      <c r="ADC21" s="31"/>
      <c r="ADD21" s="31"/>
      <c r="ADE21" s="31"/>
      <c r="ADF21" s="31"/>
      <c r="ADG21" s="31"/>
      <c r="ADH21" s="31"/>
      <c r="ADI21" s="31"/>
      <c r="ADJ21" s="31"/>
      <c r="ADK21" s="31"/>
      <c r="ADL21" s="31"/>
      <c r="ADM21" s="31"/>
      <c r="ADN21" s="31"/>
      <c r="ADO21" s="31"/>
      <c r="ADP21" s="31"/>
      <c r="ADQ21" s="31"/>
      <c r="ADR21" s="31"/>
      <c r="ADS21" s="31"/>
      <c r="ADT21" s="31"/>
      <c r="ADU21" s="31"/>
      <c r="ADV21" s="31"/>
      <c r="ADW21" s="31"/>
      <c r="ADX21" s="31"/>
      <c r="ADY21" s="31"/>
      <c r="ADZ21" s="31"/>
      <c r="AEA21" s="31"/>
      <c r="AEB21" s="31"/>
      <c r="AEC21" s="31"/>
      <c r="AED21" s="31"/>
      <c r="AEE21" s="31"/>
      <c r="AEF21" s="31"/>
      <c r="AEG21" s="31"/>
      <c r="AEH21" s="31"/>
      <c r="AEI21" s="31"/>
      <c r="AEJ21" s="31"/>
      <c r="AEK21" s="31"/>
      <c r="AEL21" s="31"/>
      <c r="AEM21" s="31"/>
      <c r="AEN21" s="31"/>
      <c r="AEO21" s="31"/>
      <c r="AEP21" s="31"/>
      <c r="AEQ21" s="31"/>
      <c r="AER21" s="31"/>
      <c r="AES21" s="31"/>
      <c r="AET21" s="31"/>
      <c r="AEU21" s="31"/>
      <c r="AEV21" s="31"/>
      <c r="AEW21" s="31"/>
      <c r="AEX21" s="31"/>
      <c r="AEY21" s="31"/>
      <c r="AEZ21" s="31"/>
      <c r="AFA21" s="31"/>
      <c r="AFB21" s="31"/>
      <c r="AFC21" s="31"/>
      <c r="AFD21" s="31"/>
      <c r="AFE21" s="31"/>
      <c r="AFF21" s="31"/>
      <c r="AFG21" s="31"/>
      <c r="AFH21" s="31"/>
      <c r="AFI21" s="31"/>
      <c r="AFJ21" s="31"/>
      <c r="AFK21" s="31"/>
      <c r="AFL21" s="31"/>
      <c r="AFM21" s="31"/>
      <c r="AFN21" s="31"/>
      <c r="AFO21" s="31"/>
      <c r="AFP21" s="31"/>
      <c r="AFQ21" s="31"/>
      <c r="AFR21" s="31"/>
      <c r="AFS21" s="31"/>
      <c r="AFT21" s="31"/>
      <c r="AFU21" s="31"/>
      <c r="AFV21" s="31"/>
      <c r="AFW21" s="31"/>
      <c r="AFX21" s="31"/>
      <c r="AFY21" s="31"/>
      <c r="AFZ21" s="31"/>
      <c r="AGA21" s="31"/>
      <c r="AGB21" s="31"/>
      <c r="AGC21" s="31"/>
      <c r="AGD21" s="31"/>
      <c r="AGE21" s="31"/>
      <c r="AGF21" s="31"/>
      <c r="AGG21" s="31"/>
      <c r="AGH21" s="31"/>
      <c r="AGI21" s="31"/>
      <c r="AGJ21" s="31"/>
      <c r="AGK21" s="31"/>
      <c r="AGL21" s="31"/>
      <c r="AGM21" s="31"/>
      <c r="AGN21" s="31"/>
      <c r="AGO21" s="31"/>
      <c r="AGP21" s="31"/>
      <c r="AGQ21" s="31"/>
      <c r="AGR21" s="31"/>
      <c r="AGS21" s="31"/>
      <c r="AGT21" s="31"/>
      <c r="AGU21" s="31"/>
      <c r="AGV21" s="31"/>
      <c r="AGW21" s="31"/>
      <c r="AGX21" s="31"/>
      <c r="AGY21" s="31"/>
      <c r="AGZ21" s="31"/>
      <c r="AHA21" s="31"/>
      <c r="AHB21" s="31"/>
      <c r="AHC21" s="31"/>
      <c r="AHD21" s="31"/>
      <c r="AHE21" s="31"/>
      <c r="AHF21" s="31"/>
      <c r="AHG21" s="31"/>
      <c r="AHH21" s="31"/>
      <c r="AHI21" s="31"/>
      <c r="AHJ21" s="31"/>
      <c r="AHK21" s="31"/>
      <c r="AHL21" s="31"/>
      <c r="AHM21" s="31"/>
      <c r="AHN21" s="31"/>
      <c r="AHO21" s="31"/>
      <c r="AHP21" s="31"/>
      <c r="AHQ21" s="31"/>
      <c r="AHR21" s="31"/>
      <c r="AHS21" s="31"/>
      <c r="AHT21" s="31"/>
      <c r="AHU21" s="31"/>
      <c r="AHV21" s="31"/>
      <c r="AHW21" s="31"/>
      <c r="AHX21" s="31"/>
      <c r="AHY21" s="31"/>
      <c r="AHZ21" s="31"/>
      <c r="AIA21" s="31"/>
      <c r="AIB21" s="31"/>
      <c r="AIC21" s="31"/>
      <c r="AID21" s="31"/>
      <c r="AIE21" s="31"/>
      <c r="AIF21" s="31"/>
      <c r="AIG21" s="31"/>
      <c r="AIH21" s="31"/>
      <c r="AII21" s="31"/>
      <c r="AIJ21" s="31"/>
      <c r="AIK21" s="31"/>
      <c r="AIL21" s="31"/>
      <c r="AIM21" s="31"/>
      <c r="AIN21" s="31"/>
      <c r="AIO21" s="31"/>
      <c r="AIP21" s="31"/>
      <c r="AIQ21" s="31"/>
      <c r="AIR21" s="31"/>
      <c r="AIS21" s="31"/>
      <c r="AIT21" s="31"/>
      <c r="AIU21" s="31"/>
      <c r="AIV21" s="31"/>
      <c r="AIW21" s="31"/>
      <c r="AIX21" s="31"/>
      <c r="AIY21" s="31"/>
      <c r="AIZ21" s="31"/>
      <c r="AJA21" s="31"/>
      <c r="AJB21" s="31"/>
      <c r="AJC21" s="31"/>
      <c r="AJD21" s="31"/>
      <c r="AJE21" s="31"/>
      <c r="AJF21" s="31"/>
      <c r="AJG21" s="31"/>
      <c r="AJH21" s="31"/>
      <c r="AJI21" s="31"/>
      <c r="AJJ21" s="31"/>
      <c r="AJK21" s="31"/>
      <c r="AJL21" s="31"/>
      <c r="AJM21" s="31"/>
      <c r="AJN21" s="31"/>
      <c r="AJO21" s="31"/>
      <c r="AJP21" s="31"/>
      <c r="AJQ21" s="31"/>
      <c r="AJR21" s="31"/>
      <c r="AJS21" s="31"/>
      <c r="AJT21" s="31"/>
      <c r="AJU21" s="31"/>
      <c r="AJV21" s="31"/>
      <c r="AJW21" s="31"/>
      <c r="AJX21" s="31"/>
      <c r="AJY21" s="31"/>
      <c r="AJZ21" s="31"/>
      <c r="AKA21" s="31"/>
      <c r="AKB21" s="31"/>
      <c r="AKC21" s="31"/>
      <c r="AKD21" s="31"/>
      <c r="AKE21" s="31"/>
      <c r="AKF21" s="31"/>
      <c r="AKG21" s="31"/>
      <c r="AKH21" s="31"/>
      <c r="AKI21" s="31"/>
      <c r="AKJ21" s="31"/>
      <c r="AKK21" s="31"/>
      <c r="AKL21" s="31"/>
      <c r="AKM21" s="31"/>
      <c r="AKN21" s="31"/>
      <c r="AKO21" s="31"/>
      <c r="AKP21" s="31"/>
      <c r="AKQ21" s="31"/>
      <c r="AKR21" s="31"/>
      <c r="AKS21" s="31"/>
      <c r="AKT21" s="31"/>
      <c r="AKU21" s="31"/>
      <c r="AKV21" s="31"/>
      <c r="AKW21" s="31"/>
      <c r="AKX21" s="31"/>
      <c r="AKY21" s="31"/>
      <c r="AKZ21" s="31"/>
      <c r="ALA21" s="31"/>
      <c r="ALB21" s="31"/>
      <c r="ALC21" s="31"/>
      <c r="ALD21" s="31"/>
      <c r="ALE21" s="31"/>
      <c r="ALF21" s="31"/>
      <c r="ALG21" s="31"/>
      <c r="ALH21" s="31"/>
      <c r="ALI21" s="31"/>
      <c r="ALJ21" s="31"/>
      <c r="ALK21" s="31"/>
      <c r="ALL21" s="31"/>
      <c r="ALM21" s="31"/>
      <c r="ALN21" s="31"/>
      <c r="ALO21" s="31"/>
      <c r="ALP21" s="31"/>
      <c r="ALQ21" s="31"/>
      <c r="ALR21" s="31"/>
      <c r="ALS21" s="31"/>
      <c r="ALT21" s="31"/>
      <c r="ALU21" s="31"/>
      <c r="ALV21" s="31"/>
      <c r="ALW21" s="31"/>
      <c r="ALX21" s="31"/>
      <c r="ALY21" s="31"/>
      <c r="ALZ21" s="31"/>
      <c r="AMA21" s="31"/>
      <c r="AMB21" s="31"/>
      <c r="AMC21" s="31"/>
      <c r="AMD21" s="31"/>
    </row>
    <row r="22" customFormat="false" ht="15" hidden="false" customHeight="true" outlineLevel="0" collapsed="false">
      <c r="A22" s="18"/>
      <c r="B22" s="119" t="str">
        <f aca="false">'Base Novo Hamburgo'!B14</f>
        <v>APS PORTÃO</v>
      </c>
      <c r="C22" s="273" t="n">
        <f aca="false">VLOOKUP(B22,Unidades!$D$5:$G$35,4,)</f>
        <v>0.025</v>
      </c>
      <c r="D22" s="274" t="n">
        <f aca="false">'Base Novo Hamburgo'!AD14*12+'Base Novo Hamburgo'!AE14*4+'Base Novo Hamburgo'!AF14*2+'Base Novo Hamburgo'!AG14</f>
        <v>6866.70640314528</v>
      </c>
      <c r="E22" s="274" t="n">
        <f aca="false">'Base Novo Hamburgo'!AK14*12+'Base Novo Hamburgo'!AL14*4+'Base Novo Hamburgo'!AM14*2+'Base Novo Hamburgo'!AN14</f>
        <v>8774.27744193904</v>
      </c>
      <c r="IO22" s="18"/>
      <c r="IP22" s="18"/>
      <c r="IQ22" s="18"/>
      <c r="IR22" s="18"/>
      <c r="IS22" s="18"/>
      <c r="IT22" s="18"/>
      <c r="IU22" s="18"/>
      <c r="IV22" s="18"/>
      <c r="IW22" s="18"/>
      <c r="IX22" s="18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18"/>
      <c r="KV22" s="18"/>
      <c r="KW22" s="18"/>
      <c r="KX22" s="18"/>
      <c r="KY22" s="18"/>
      <c r="KZ22" s="18"/>
      <c r="LA22" s="18"/>
      <c r="LB22" s="18"/>
      <c r="LC22" s="18"/>
      <c r="LD22" s="18"/>
      <c r="LE22" s="18"/>
      <c r="LF22" s="18"/>
      <c r="LG22" s="18"/>
      <c r="LH22" s="18"/>
      <c r="LI22" s="18"/>
      <c r="LJ22" s="18"/>
      <c r="LK22" s="18"/>
      <c r="LL22" s="18"/>
      <c r="LM22" s="18"/>
      <c r="LN22" s="18"/>
      <c r="LO22" s="18"/>
      <c r="LP22" s="18"/>
      <c r="LQ22" s="18"/>
      <c r="LR22" s="18"/>
      <c r="LS22" s="18"/>
      <c r="LT22" s="18"/>
      <c r="LU22" s="18"/>
      <c r="LV22" s="18"/>
      <c r="LW22" s="18"/>
      <c r="LX22" s="18"/>
      <c r="LY22" s="18"/>
      <c r="LZ22" s="18"/>
      <c r="MA22" s="18"/>
      <c r="MB22" s="18"/>
      <c r="MC22" s="18"/>
      <c r="MD22" s="18"/>
      <c r="ME22" s="18"/>
      <c r="MF22" s="18"/>
      <c r="MG22" s="18"/>
      <c r="MH22" s="18"/>
      <c r="MI22" s="18"/>
      <c r="MJ22" s="18"/>
      <c r="MK22" s="18"/>
      <c r="ML22" s="18"/>
      <c r="MM22" s="18"/>
      <c r="MN22" s="18"/>
      <c r="MO22" s="18"/>
      <c r="MP22" s="18"/>
      <c r="MQ22" s="18"/>
      <c r="MR22" s="18"/>
      <c r="MS22" s="18"/>
      <c r="MT22" s="18"/>
      <c r="MU22" s="18"/>
      <c r="MV22" s="18"/>
      <c r="MW22" s="18"/>
      <c r="MX22" s="18"/>
      <c r="MY22" s="18"/>
      <c r="MZ22" s="18"/>
      <c r="NA22" s="18"/>
      <c r="NB22" s="18"/>
      <c r="NC22" s="18"/>
      <c r="ND22" s="18"/>
      <c r="NE22" s="18"/>
      <c r="NF22" s="18"/>
      <c r="NG22" s="18"/>
      <c r="NH22" s="18"/>
      <c r="NI22" s="18"/>
      <c r="NJ22" s="18"/>
      <c r="NK22" s="18"/>
      <c r="NL22" s="18"/>
      <c r="NM22" s="18"/>
      <c r="NN22" s="18"/>
      <c r="NO22" s="18"/>
      <c r="NP22" s="18"/>
      <c r="NQ22" s="18"/>
      <c r="NR22" s="18"/>
      <c r="NS22" s="18"/>
      <c r="NT22" s="18"/>
      <c r="NU22" s="18"/>
      <c r="NV22" s="18"/>
      <c r="NW22" s="18"/>
      <c r="NX22" s="18"/>
      <c r="NY22" s="18"/>
      <c r="NZ22" s="18"/>
      <c r="OA22" s="18"/>
      <c r="OB22" s="18"/>
      <c r="OC22" s="18"/>
      <c r="OD22" s="18"/>
      <c r="OE22" s="18"/>
      <c r="OF22" s="18"/>
      <c r="OG22" s="18"/>
      <c r="OH22" s="18"/>
      <c r="OI22" s="18"/>
      <c r="OJ22" s="18"/>
      <c r="OK22" s="18"/>
      <c r="OL22" s="18"/>
      <c r="OM22" s="18"/>
      <c r="ON22" s="18"/>
      <c r="OO22" s="18"/>
      <c r="OP22" s="18"/>
      <c r="OQ22" s="18"/>
      <c r="OR22" s="18"/>
      <c r="OS22" s="18"/>
      <c r="OT22" s="18"/>
      <c r="OU22" s="18"/>
      <c r="OV22" s="18"/>
      <c r="OW22" s="18"/>
      <c r="OX22" s="18"/>
      <c r="OY22" s="18"/>
      <c r="OZ22" s="18"/>
      <c r="PA22" s="18"/>
      <c r="PB22" s="18"/>
      <c r="PC22" s="18"/>
      <c r="PD22" s="18"/>
      <c r="PE22" s="18"/>
      <c r="PF22" s="18"/>
      <c r="PG22" s="18"/>
      <c r="PH22" s="18"/>
      <c r="PI22" s="18"/>
      <c r="PJ22" s="18"/>
      <c r="PK22" s="18"/>
      <c r="PL22" s="18"/>
      <c r="PM22" s="18"/>
      <c r="PN22" s="18"/>
      <c r="PO22" s="18"/>
      <c r="PP22" s="18"/>
      <c r="PQ22" s="18"/>
      <c r="PR22" s="18"/>
      <c r="PS22" s="18"/>
      <c r="PT22" s="18"/>
      <c r="PU22" s="18"/>
      <c r="PV22" s="18"/>
      <c r="PW22" s="18"/>
      <c r="PX22" s="18"/>
      <c r="PY22" s="18"/>
      <c r="PZ22" s="18"/>
      <c r="QA22" s="18"/>
      <c r="QB22" s="18"/>
      <c r="QC22" s="18"/>
      <c r="QD22" s="18"/>
      <c r="QE22" s="18"/>
      <c r="QF22" s="18"/>
      <c r="QG22" s="18"/>
      <c r="QH22" s="18"/>
      <c r="QI22" s="18"/>
      <c r="QJ22" s="18"/>
      <c r="QK22" s="18"/>
      <c r="QL22" s="18"/>
      <c r="QM22" s="18"/>
      <c r="QN22" s="18"/>
      <c r="QO22" s="18"/>
      <c r="QP22" s="18"/>
      <c r="QQ22" s="18"/>
      <c r="QR22" s="18"/>
      <c r="QS22" s="18"/>
      <c r="QT22" s="18"/>
      <c r="QU22" s="18"/>
      <c r="QV22" s="18"/>
      <c r="QW22" s="18"/>
      <c r="QX22" s="18"/>
      <c r="QY22" s="18"/>
      <c r="QZ22" s="18"/>
      <c r="RA22" s="18"/>
      <c r="RB22" s="18"/>
      <c r="RC22" s="18"/>
      <c r="RD22" s="18"/>
      <c r="RE22" s="18"/>
      <c r="RF22" s="18"/>
      <c r="RG22" s="18"/>
      <c r="RH22" s="18"/>
      <c r="RI22" s="18"/>
      <c r="RJ22" s="18"/>
      <c r="RK22" s="18"/>
      <c r="RL22" s="18"/>
      <c r="RM22" s="18"/>
      <c r="RN22" s="18"/>
      <c r="RO22" s="18"/>
      <c r="RP22" s="18"/>
      <c r="RQ22" s="18"/>
      <c r="RR22" s="18"/>
      <c r="RS22" s="18"/>
      <c r="RT22" s="18"/>
      <c r="RU22" s="18"/>
      <c r="RV22" s="18"/>
      <c r="RW22" s="18"/>
      <c r="RX22" s="18"/>
      <c r="RY22" s="18"/>
      <c r="RZ22" s="18"/>
      <c r="SA22" s="18"/>
      <c r="SB22" s="18"/>
      <c r="SC22" s="18"/>
      <c r="SD22" s="18"/>
      <c r="SE22" s="18"/>
      <c r="SF22" s="18"/>
      <c r="SG22" s="18"/>
      <c r="SH22" s="18"/>
      <c r="SI22" s="18"/>
      <c r="SJ22" s="18"/>
      <c r="SK22" s="18"/>
      <c r="SL22" s="18"/>
      <c r="SM22" s="18"/>
      <c r="SN22" s="18"/>
      <c r="SO22" s="18"/>
      <c r="SP22" s="18"/>
      <c r="SQ22" s="18"/>
      <c r="SR22" s="18"/>
      <c r="SS22" s="18"/>
      <c r="ST22" s="18"/>
      <c r="SU22" s="18"/>
      <c r="SV22" s="18"/>
      <c r="SW22" s="18"/>
      <c r="SX22" s="18"/>
      <c r="SY22" s="18"/>
      <c r="SZ22" s="18"/>
      <c r="TA22" s="18"/>
      <c r="TB22" s="18"/>
      <c r="TC22" s="18"/>
      <c r="TD22" s="18"/>
      <c r="TE22" s="18"/>
      <c r="TF22" s="18"/>
      <c r="TG22" s="18"/>
      <c r="TH22" s="18"/>
      <c r="TI22" s="18"/>
      <c r="TJ22" s="18"/>
      <c r="TK22" s="18"/>
      <c r="TL22" s="18"/>
      <c r="TM22" s="18"/>
      <c r="TN22" s="18"/>
      <c r="TO22" s="18"/>
      <c r="TP22" s="18"/>
      <c r="TQ22" s="18"/>
      <c r="TR22" s="18"/>
      <c r="TS22" s="18"/>
      <c r="TT22" s="18"/>
      <c r="TU22" s="18"/>
      <c r="TV22" s="18"/>
      <c r="TW22" s="18"/>
      <c r="TX22" s="18"/>
      <c r="TY22" s="18"/>
      <c r="TZ22" s="18"/>
      <c r="UA22" s="18"/>
      <c r="UB22" s="18"/>
      <c r="UC22" s="18"/>
      <c r="UD22" s="18"/>
      <c r="UE22" s="18"/>
      <c r="UF22" s="18"/>
      <c r="UG22" s="18"/>
      <c r="UH22" s="18"/>
      <c r="UI22" s="18"/>
      <c r="UJ22" s="18"/>
      <c r="UK22" s="18"/>
      <c r="UL22" s="18"/>
      <c r="UM22" s="18"/>
      <c r="UN22" s="18"/>
      <c r="UO22" s="18"/>
      <c r="UP22" s="18"/>
      <c r="UQ22" s="18"/>
      <c r="UR22" s="18"/>
      <c r="US22" s="18"/>
      <c r="UT22" s="18"/>
      <c r="UU22" s="18"/>
      <c r="UV22" s="18"/>
      <c r="UW22" s="18"/>
      <c r="UX22" s="18"/>
      <c r="UY22" s="18"/>
      <c r="UZ22" s="18"/>
      <c r="VA22" s="18"/>
      <c r="VB22" s="18"/>
      <c r="VC22" s="18"/>
      <c r="VD22" s="18"/>
      <c r="VE22" s="18"/>
      <c r="VF22" s="18"/>
      <c r="VG22" s="18"/>
      <c r="VH22" s="18"/>
      <c r="VI22" s="18"/>
      <c r="VJ22" s="18"/>
      <c r="VK22" s="18"/>
      <c r="VL22" s="18"/>
      <c r="VM22" s="18"/>
      <c r="VN22" s="18"/>
      <c r="VO22" s="18"/>
      <c r="VP22" s="18"/>
      <c r="VQ22" s="18"/>
      <c r="VR22" s="18"/>
      <c r="VS22" s="18"/>
      <c r="VT22" s="18"/>
      <c r="VU22" s="18"/>
      <c r="VV22" s="18"/>
      <c r="VW22" s="18"/>
      <c r="VX22" s="18"/>
      <c r="VY22" s="18"/>
      <c r="VZ22" s="18"/>
      <c r="WA22" s="18"/>
      <c r="WB22" s="18"/>
      <c r="WC22" s="18"/>
      <c r="WD22" s="18"/>
      <c r="WE22" s="18"/>
      <c r="WF22" s="18"/>
      <c r="WG22" s="18"/>
      <c r="WH22" s="18"/>
      <c r="WI22" s="18"/>
      <c r="WJ22" s="18"/>
      <c r="WK22" s="18"/>
      <c r="WL22" s="18"/>
      <c r="WM22" s="18"/>
      <c r="WN22" s="18"/>
      <c r="WO22" s="18"/>
      <c r="WP22" s="18"/>
      <c r="WQ22" s="18"/>
      <c r="WR22" s="18"/>
      <c r="WS22" s="18"/>
      <c r="WT22" s="18"/>
      <c r="WU22" s="18"/>
      <c r="WV22" s="18"/>
      <c r="WW22" s="18"/>
      <c r="WX22" s="18"/>
      <c r="WY22" s="18"/>
      <c r="WZ22" s="18"/>
      <c r="XA22" s="18"/>
      <c r="XB22" s="18"/>
      <c r="XC22" s="18"/>
      <c r="XD22" s="18"/>
      <c r="XE22" s="18"/>
      <c r="XF22" s="18"/>
      <c r="XG22" s="18"/>
      <c r="XH22" s="18"/>
      <c r="XI22" s="18"/>
      <c r="XJ22" s="18"/>
      <c r="XK22" s="18"/>
      <c r="XL22" s="18"/>
      <c r="XM22" s="18"/>
      <c r="XN22" s="18"/>
      <c r="XO22" s="18"/>
      <c r="XP22" s="18"/>
      <c r="XQ22" s="18"/>
      <c r="XR22" s="18"/>
      <c r="XS22" s="18"/>
      <c r="XT22" s="18"/>
      <c r="XU22" s="18"/>
      <c r="XV22" s="18"/>
      <c r="XW22" s="18"/>
      <c r="XX22" s="18"/>
      <c r="XY22" s="18"/>
      <c r="XZ22" s="18"/>
      <c r="YA22" s="18"/>
      <c r="YB22" s="18"/>
      <c r="YC22" s="18"/>
      <c r="YD22" s="18"/>
      <c r="YE22" s="18"/>
      <c r="YF22" s="18"/>
      <c r="YG22" s="18"/>
      <c r="YH22" s="18"/>
      <c r="YI22" s="18"/>
      <c r="YJ22" s="18"/>
      <c r="YK22" s="18"/>
      <c r="YL22" s="18"/>
      <c r="YM22" s="18"/>
      <c r="YN22" s="18"/>
      <c r="YO22" s="18"/>
      <c r="YP22" s="18"/>
      <c r="YQ22" s="18"/>
      <c r="YR22" s="18"/>
      <c r="YS22" s="18"/>
      <c r="YT22" s="18"/>
      <c r="YU22" s="18"/>
      <c r="YV22" s="18"/>
      <c r="YW22" s="18"/>
      <c r="YX22" s="18"/>
      <c r="YY22" s="18"/>
      <c r="YZ22" s="18"/>
      <c r="ZA22" s="18"/>
      <c r="ZB22" s="18"/>
      <c r="ZC22" s="18"/>
      <c r="ZD22" s="18"/>
      <c r="ZE22" s="18"/>
      <c r="ZF22" s="18"/>
      <c r="ZG22" s="18"/>
      <c r="ZH22" s="18"/>
      <c r="ZI22" s="18"/>
      <c r="ZJ22" s="18"/>
      <c r="ZK22" s="18"/>
      <c r="ZL22" s="18"/>
      <c r="ZM22" s="18"/>
      <c r="ZN22" s="18"/>
      <c r="ZO22" s="18"/>
      <c r="ZP22" s="18"/>
      <c r="ZQ22" s="18"/>
      <c r="ZR22" s="18"/>
      <c r="ZS22" s="18"/>
      <c r="ZT22" s="18"/>
      <c r="ZU22" s="18"/>
      <c r="ZV22" s="18"/>
      <c r="ZW22" s="18"/>
      <c r="ZX22" s="18"/>
      <c r="ZY22" s="18"/>
      <c r="ZZ22" s="18"/>
      <c r="AAA22" s="18"/>
      <c r="AAB22" s="18"/>
      <c r="AAC22" s="18"/>
      <c r="AAD22" s="18"/>
      <c r="AAE22" s="18"/>
      <c r="AAF22" s="18"/>
      <c r="AAG22" s="18"/>
      <c r="AAH22" s="18"/>
      <c r="AAI22" s="18"/>
      <c r="AAJ22" s="18"/>
      <c r="AAK22" s="18"/>
      <c r="AAL22" s="18"/>
      <c r="AAM22" s="18"/>
      <c r="AAN22" s="18"/>
      <c r="AAO22" s="18"/>
      <c r="AAP22" s="18"/>
      <c r="AAQ22" s="18"/>
      <c r="AAR22" s="18"/>
      <c r="AAS22" s="18"/>
      <c r="AAT22" s="18"/>
      <c r="AAU22" s="18"/>
      <c r="AAV22" s="18"/>
      <c r="AAW22" s="18"/>
      <c r="AAX22" s="18"/>
      <c r="AAY22" s="18"/>
      <c r="AAZ22" s="18"/>
      <c r="ABA22" s="18"/>
      <c r="ABB22" s="18"/>
      <c r="ABC22" s="18"/>
      <c r="ABD22" s="18"/>
      <c r="ABE22" s="18"/>
      <c r="ABF22" s="18"/>
      <c r="ABG22" s="18"/>
      <c r="ABH22" s="18"/>
      <c r="ABI22" s="18"/>
      <c r="ABJ22" s="18"/>
      <c r="ABK22" s="18"/>
      <c r="ABL22" s="18"/>
      <c r="ABM22" s="18"/>
      <c r="ABN22" s="18"/>
      <c r="ABO22" s="18"/>
      <c r="ABP22" s="18"/>
      <c r="ABQ22" s="18"/>
      <c r="ABR22" s="18"/>
      <c r="ABS22" s="18"/>
      <c r="ABT22" s="18"/>
      <c r="ABU22" s="18"/>
      <c r="ABV22" s="18"/>
      <c r="ABW22" s="18"/>
      <c r="ABX22" s="18"/>
      <c r="ABY22" s="18"/>
      <c r="ABZ22" s="18"/>
      <c r="ACA22" s="18"/>
      <c r="ACB22" s="18"/>
      <c r="ACC22" s="18"/>
      <c r="ACD22" s="18"/>
      <c r="ACE22" s="18"/>
      <c r="ACF22" s="18"/>
      <c r="ACG22" s="18"/>
      <c r="ACH22" s="18"/>
      <c r="ACI22" s="18"/>
      <c r="ACJ22" s="18"/>
      <c r="ACK22" s="18"/>
      <c r="ACL22" s="18"/>
      <c r="ACM22" s="18"/>
      <c r="ACN22" s="18"/>
      <c r="ACO22" s="18"/>
      <c r="ACP22" s="18"/>
      <c r="ACQ22" s="18"/>
      <c r="ACR22" s="18"/>
      <c r="ACS22" s="18"/>
      <c r="ACT22" s="18"/>
      <c r="ACU22" s="18"/>
      <c r="ACV22" s="18"/>
      <c r="ACW22" s="18"/>
      <c r="ACX22" s="18"/>
      <c r="ACY22" s="18"/>
      <c r="ACZ22" s="18"/>
      <c r="ADA22" s="18"/>
      <c r="ADB22" s="18"/>
      <c r="ADC22" s="18"/>
      <c r="ADD22" s="18"/>
      <c r="ADE22" s="18"/>
      <c r="ADF22" s="18"/>
      <c r="ADG22" s="18"/>
      <c r="ADH22" s="18"/>
      <c r="ADI22" s="18"/>
      <c r="ADJ22" s="18"/>
      <c r="ADK22" s="18"/>
      <c r="ADL22" s="18"/>
      <c r="ADM22" s="18"/>
      <c r="ADN22" s="18"/>
      <c r="ADO22" s="18"/>
      <c r="ADP22" s="18"/>
      <c r="ADQ22" s="18"/>
      <c r="ADR22" s="18"/>
      <c r="ADS22" s="18"/>
      <c r="ADT22" s="18"/>
      <c r="ADU22" s="18"/>
      <c r="ADV22" s="18"/>
      <c r="ADW22" s="18"/>
      <c r="ADX22" s="18"/>
      <c r="ADY22" s="18"/>
      <c r="ADZ22" s="18"/>
      <c r="AEA22" s="18"/>
      <c r="AEB22" s="18"/>
      <c r="AEC22" s="18"/>
      <c r="AED22" s="18"/>
      <c r="AEE22" s="18"/>
      <c r="AEF22" s="18"/>
      <c r="AEG22" s="18"/>
      <c r="AEH22" s="18"/>
      <c r="AEI22" s="18"/>
      <c r="AEJ22" s="18"/>
      <c r="AEK22" s="18"/>
      <c r="AEL22" s="18"/>
      <c r="AEM22" s="18"/>
      <c r="AEN22" s="18"/>
      <c r="AEO22" s="18"/>
      <c r="AEP22" s="18"/>
      <c r="AEQ22" s="18"/>
      <c r="AER22" s="18"/>
      <c r="AES22" s="18"/>
      <c r="AET22" s="18"/>
      <c r="AEU22" s="18"/>
      <c r="AEV22" s="18"/>
      <c r="AEW22" s="18"/>
      <c r="AEX22" s="18"/>
      <c r="AEY22" s="18"/>
      <c r="AEZ22" s="18"/>
      <c r="AFA22" s="18"/>
      <c r="AFB22" s="18"/>
      <c r="AFC22" s="18"/>
      <c r="AFD22" s="18"/>
      <c r="AFE22" s="18"/>
      <c r="AFF22" s="18"/>
      <c r="AFG22" s="18"/>
      <c r="AFH22" s="18"/>
      <c r="AFI22" s="18"/>
      <c r="AFJ22" s="18"/>
      <c r="AFK22" s="18"/>
      <c r="AFL22" s="18"/>
      <c r="AFM22" s="18"/>
      <c r="AFN22" s="18"/>
      <c r="AFO22" s="18"/>
      <c r="AFP22" s="18"/>
      <c r="AFQ22" s="18"/>
      <c r="AFR22" s="18"/>
      <c r="AFS22" s="18"/>
      <c r="AFT22" s="18"/>
      <c r="AFU22" s="18"/>
      <c r="AFV22" s="18"/>
      <c r="AFW22" s="18"/>
      <c r="AFX22" s="18"/>
      <c r="AFY22" s="18"/>
      <c r="AFZ22" s="18"/>
      <c r="AGA22" s="18"/>
      <c r="AGB22" s="18"/>
      <c r="AGC22" s="18"/>
      <c r="AGD22" s="18"/>
      <c r="AGE22" s="18"/>
      <c r="AGF22" s="18"/>
      <c r="AGG22" s="18"/>
      <c r="AGH22" s="18"/>
      <c r="AGI22" s="18"/>
      <c r="AGJ22" s="18"/>
      <c r="AGK22" s="18"/>
      <c r="AGL22" s="18"/>
      <c r="AGM22" s="18"/>
      <c r="AGN22" s="18"/>
      <c r="AGO22" s="18"/>
      <c r="AGP22" s="18"/>
      <c r="AGQ22" s="18"/>
      <c r="AGR22" s="18"/>
      <c r="AGS22" s="18"/>
      <c r="AGT22" s="18"/>
      <c r="AGU22" s="18"/>
      <c r="AGV22" s="18"/>
      <c r="AGW22" s="18"/>
      <c r="AGX22" s="18"/>
      <c r="AGY22" s="18"/>
      <c r="AGZ22" s="18"/>
      <c r="AHA22" s="18"/>
      <c r="AHB22" s="18"/>
      <c r="AHC22" s="18"/>
      <c r="AHD22" s="18"/>
      <c r="AHE22" s="18"/>
      <c r="AHF22" s="18"/>
      <c r="AHG22" s="18"/>
      <c r="AHH22" s="18"/>
      <c r="AHI22" s="18"/>
      <c r="AHJ22" s="18"/>
      <c r="AHK22" s="18"/>
      <c r="AHL22" s="18"/>
      <c r="AHM22" s="18"/>
      <c r="AHN22" s="18"/>
      <c r="AHO22" s="18"/>
      <c r="AHP22" s="18"/>
      <c r="AHQ22" s="18"/>
      <c r="AHR22" s="18"/>
      <c r="AHS22" s="18"/>
      <c r="AHT22" s="18"/>
      <c r="AHU22" s="18"/>
      <c r="AHV22" s="18"/>
      <c r="AHW22" s="18"/>
      <c r="AHX22" s="18"/>
      <c r="AHY22" s="18"/>
      <c r="AHZ22" s="18"/>
      <c r="AIA22" s="18"/>
      <c r="AIB22" s="18"/>
      <c r="AIC22" s="18"/>
      <c r="AID22" s="18"/>
      <c r="AIE22" s="18"/>
      <c r="AIF22" s="18"/>
      <c r="AIG22" s="18"/>
      <c r="AIH22" s="18"/>
      <c r="AII22" s="18"/>
      <c r="AIJ22" s="18"/>
      <c r="AIK22" s="18"/>
      <c r="AIL22" s="18"/>
      <c r="AIM22" s="18"/>
      <c r="AIN22" s="18"/>
      <c r="AIO22" s="18"/>
      <c r="AIP22" s="18"/>
      <c r="AIQ22" s="18"/>
      <c r="AIR22" s="18"/>
      <c r="AIS22" s="18"/>
      <c r="AIT22" s="18"/>
      <c r="AIU22" s="18"/>
      <c r="AIV22" s="18"/>
      <c r="AIW22" s="18"/>
      <c r="AIX22" s="18"/>
      <c r="AIY22" s="18"/>
      <c r="AIZ22" s="18"/>
      <c r="AJA22" s="18"/>
      <c r="AJB22" s="18"/>
      <c r="AJC22" s="18"/>
      <c r="AJD22" s="18"/>
      <c r="AJE22" s="18"/>
      <c r="AJF22" s="18"/>
      <c r="AJG22" s="18"/>
      <c r="AJH22" s="18"/>
      <c r="AJI22" s="18"/>
      <c r="AJJ22" s="18"/>
      <c r="AJK22" s="18"/>
      <c r="AJL22" s="18"/>
      <c r="AJM22" s="18"/>
      <c r="AJN22" s="18"/>
      <c r="AJO22" s="18"/>
      <c r="AJP22" s="18"/>
      <c r="AJQ22" s="18"/>
      <c r="AJR22" s="18"/>
      <c r="AJS22" s="18"/>
      <c r="AJT22" s="18"/>
      <c r="AJU22" s="18"/>
      <c r="AJV22" s="18"/>
      <c r="AJW22" s="18"/>
      <c r="AJX22" s="18"/>
      <c r="AJY22" s="18"/>
      <c r="AJZ22" s="18"/>
      <c r="AKA22" s="18"/>
      <c r="AKB22" s="18"/>
      <c r="AKC22" s="18"/>
      <c r="AKD22" s="18"/>
      <c r="AKE22" s="18"/>
      <c r="AKF22" s="18"/>
      <c r="AKG22" s="18"/>
      <c r="AKH22" s="18"/>
      <c r="AKI22" s="18"/>
      <c r="AKJ22" s="18"/>
      <c r="AKK22" s="18"/>
      <c r="AKL22" s="18"/>
      <c r="AKM22" s="18"/>
      <c r="AKN22" s="18"/>
      <c r="AKO22" s="18"/>
      <c r="AKP22" s="18"/>
      <c r="AKQ22" s="18"/>
      <c r="AKR22" s="18"/>
      <c r="AKS22" s="18"/>
      <c r="AKT22" s="18"/>
      <c r="AKU22" s="18"/>
      <c r="AKV22" s="18"/>
      <c r="AKW22" s="18"/>
      <c r="AKX22" s="18"/>
      <c r="AKY22" s="18"/>
      <c r="AKZ22" s="18"/>
      <c r="ALA22" s="18"/>
      <c r="ALB22" s="18"/>
      <c r="ALC22" s="18"/>
      <c r="ALD22" s="18"/>
      <c r="ALE22" s="18"/>
      <c r="ALF22" s="18"/>
      <c r="ALG22" s="18"/>
      <c r="ALH22" s="18"/>
      <c r="ALI22" s="18"/>
      <c r="ALJ22" s="18"/>
      <c r="ALK22" s="18"/>
      <c r="ALL22" s="18"/>
      <c r="ALM22" s="18"/>
      <c r="ALN22" s="18"/>
      <c r="ALO22" s="18"/>
      <c r="ALP22" s="18"/>
      <c r="ALQ22" s="18"/>
      <c r="ALR22" s="18"/>
      <c r="ALS22" s="18"/>
      <c r="ALT22" s="18"/>
      <c r="ALU22" s="18"/>
      <c r="ALV22" s="18"/>
      <c r="ALW22" s="18"/>
      <c r="ALX22" s="18"/>
      <c r="ALY22" s="18"/>
      <c r="ALZ22" s="18"/>
      <c r="AMA22" s="18"/>
      <c r="AMB22" s="18"/>
      <c r="AMC22" s="18"/>
      <c r="AMD22" s="18"/>
    </row>
    <row r="23" customFormat="false" ht="15" hidden="false" customHeight="true" outlineLevel="0" collapsed="false">
      <c r="B23" s="119" t="str">
        <f aca="false">'Base Novo Hamburgo'!B15</f>
        <v>APS SÃO LEOPOLDO</v>
      </c>
      <c r="C23" s="273" t="n">
        <f aca="false">VLOOKUP(B23,Unidades!$D$5:$G$35,4,)</f>
        <v>0.03</v>
      </c>
      <c r="D23" s="274" t="n">
        <f aca="false">'Base Novo Hamburgo'!AD15*12+'Base Novo Hamburgo'!AE15*4+'Base Novo Hamburgo'!AF15*2+'Base Novo Hamburgo'!AG15</f>
        <v>7882.37654343211</v>
      </c>
      <c r="E23" s="274" t="n">
        <f aca="false">'Base Novo Hamburgo'!AK15*12+'Base Novo Hamburgo'!AL15*4+'Base Novo Hamburgo'!AM15*2+'Base Novo Hamburgo'!AN15</f>
        <v>10128.0656206559</v>
      </c>
    </row>
    <row r="24" customFormat="false" ht="15" hidden="false" customHeight="true" outlineLevel="0" collapsed="false">
      <c r="B24" s="119" t="str">
        <f aca="false">'Base Novo Hamburgo'!B16</f>
        <v>APS MONTENEGRO</v>
      </c>
      <c r="C24" s="273" t="n">
        <f aca="false">VLOOKUP(B24,Unidades!$D$5:$G$35,4,)</f>
        <v>0.03</v>
      </c>
      <c r="D24" s="274" t="n">
        <f aca="false">'Base Novo Hamburgo'!AD16*12+'Base Novo Hamburgo'!AE16*4+'Base Novo Hamburgo'!AF16*2+'Base Novo Hamburgo'!AG16</f>
        <v>10592.6285437028</v>
      </c>
      <c r="E24" s="274" t="n">
        <f aca="false">'Base Novo Hamburgo'!AK16*12+'Base Novo Hamburgo'!AL16*4+'Base Novo Hamburgo'!AM16*2+'Base Novo Hamburgo'!AN16</f>
        <v>13610.4684158037</v>
      </c>
    </row>
    <row r="25" customFormat="false" ht="15" hidden="false" customHeight="true" outlineLevel="0" collapsed="false">
      <c r="B25" s="119" t="str">
        <f aca="false">'Base Novo Hamburgo'!B17</f>
        <v>APS SÃO SEBASTIÃO DO CAÍ</v>
      </c>
      <c r="C25" s="273" t="n">
        <f aca="false">VLOOKUP(B25,Unidades!$D$5:$G$35,4,)</f>
        <v>0.03</v>
      </c>
      <c r="D25" s="274" t="n">
        <f aca="false">'Base Novo Hamburgo'!AD17*12+'Base Novo Hamburgo'!AE17*4+'Base Novo Hamburgo'!AF17*2+'Base Novo Hamburgo'!AG17</f>
        <v>8490.51711623211</v>
      </c>
      <c r="E25" s="274" t="n">
        <f aca="false">'Base Novo Hamburgo'!AK17*12+'Base Novo Hamburgo'!AL17*4+'Base Novo Hamburgo'!AM17*2+'Base Novo Hamburgo'!AN17</f>
        <v>10909.4654426466</v>
      </c>
    </row>
    <row r="26" customFormat="false" ht="15" hidden="false" customHeight="true" outlineLevel="0" collapsed="false">
      <c r="B26" s="119" t="str">
        <f aca="false">'Base Novo Hamburgo'!B18</f>
        <v>APS ESTRELA</v>
      </c>
      <c r="C26" s="273" t="n">
        <f aca="false">VLOOKUP(B26,Unidades!$D$5:$G$35,4,)</f>
        <v>0.025</v>
      </c>
      <c r="D26" s="274" t="n">
        <f aca="false">'Base Novo Hamburgo'!AD18*12+'Base Novo Hamburgo'!AE18*4+'Base Novo Hamburgo'!AF18*2+'Base Novo Hamburgo'!AG18</f>
        <v>9410.76311863211</v>
      </c>
      <c r="E26" s="274" t="n">
        <f aca="false">'Base Novo Hamburgo'!AK18*12+'Base Novo Hamburgo'!AL18*4+'Base Novo Hamburgo'!AM18*2+'Base Novo Hamburgo'!AN18</f>
        <v>12025.0731129881</v>
      </c>
    </row>
    <row r="27" customFormat="false" ht="15" hidden="false" customHeight="true" outlineLevel="0" collapsed="false">
      <c r="B27" s="119" t="str">
        <f aca="false">'Base Novo Hamburgo'!B19</f>
        <v>APS LAJEADO</v>
      </c>
      <c r="C27" s="273" t="n">
        <f aca="false">VLOOKUP(B27,Unidades!$D$5:$G$35,4,)</f>
        <v>0.025</v>
      </c>
      <c r="D27" s="274" t="n">
        <f aca="false">'Base Novo Hamburgo'!AD19*12+'Base Novo Hamburgo'!AE19*4+'Base Novo Hamburgo'!AF19*2+'Base Novo Hamburgo'!AG19</f>
        <v>11723.2456162462</v>
      </c>
      <c r="E27" s="274" t="n">
        <f aca="false">'Base Novo Hamburgo'!AK19*12+'Base Novo Hamburgo'!AL19*4+'Base Novo Hamburgo'!AM19*2+'Base Novo Hamburgo'!AN19</f>
        <v>14979.9632484394</v>
      </c>
    </row>
    <row r="28" customFormat="false" ht="15" hidden="false" customHeight="true" outlineLevel="0" collapsed="false">
      <c r="B28" s="119" t="str">
        <f aca="false">'Base Novo Hamburgo'!B20</f>
        <v>APS Encantado</v>
      </c>
      <c r="C28" s="273" t="n">
        <f aca="false">VLOOKUP(B28,Unidades!$D$5:$G$35,4,)</f>
        <v>0.025</v>
      </c>
      <c r="D28" s="274" t="n">
        <f aca="false">'Base Novo Hamburgo'!AD20*12+'Base Novo Hamburgo'!AE20*4+'Base Novo Hamburgo'!AF20*2+'Base Novo Hamburgo'!AG20</f>
        <v>13573.174615733</v>
      </c>
      <c r="E28" s="274" t="n">
        <f aca="false">'Base Novo Hamburgo'!AK20*12+'Base Novo Hamburgo'!AL20*4+'Base Novo Hamburgo'!AM20*2+'Base Novo Hamburgo'!AN20</f>
        <v>17343.8025239836</v>
      </c>
    </row>
    <row r="29" customFormat="false" ht="15" hidden="false" customHeight="true" outlineLevel="0" collapsed="false">
      <c r="B29" s="119" t="str">
        <f aca="false">'Base Novo Hamburgo'!B21</f>
        <v>APS TEUTÔNIA</v>
      </c>
      <c r="C29" s="273" t="n">
        <f aca="false">VLOOKUP(B29,Unidades!$D$5:$G$35,4,)</f>
        <v>0.03</v>
      </c>
      <c r="D29" s="274" t="n">
        <f aca="false">'Base Novo Hamburgo'!AD21*12+'Base Novo Hamburgo'!AE21*4+'Base Novo Hamburgo'!AF21*2+'Base Novo Hamburgo'!AG21</f>
        <v>9145.30383754529</v>
      </c>
      <c r="E29" s="274" t="n">
        <f aca="false">'Base Novo Hamburgo'!AK21*12+'Base Novo Hamburgo'!AL21*4+'Base Novo Hamburgo'!AM21*2+'Base Novo Hamburgo'!AN21</f>
        <v>11750.8009008619</v>
      </c>
    </row>
    <row r="30" customFormat="false" ht="15" hidden="false" customHeight="true" outlineLevel="0" collapsed="false">
      <c r="B30" s="119" t="str">
        <f aca="false">'Base Novo Hamburgo'!B22</f>
        <v>APS TAQUARA</v>
      </c>
      <c r="C30" s="273" t="n">
        <f aca="false">VLOOKUP(B30,Unidades!$D$5:$G$35,4,)</f>
        <v>0.03</v>
      </c>
      <c r="D30" s="274" t="n">
        <f aca="false">'Base Novo Hamburgo'!AD22*12+'Base Novo Hamburgo'!AE22*4+'Base Novo Hamburgo'!AF22*2+'Base Novo Hamburgo'!AG22</f>
        <v>11099.3691165028</v>
      </c>
      <c r="E30" s="274" t="n">
        <f aca="false">'Base Novo Hamburgo'!AK22*12+'Base Novo Hamburgo'!AL22*4+'Base Novo Hamburgo'!AM22*2+'Base Novo Hamburgo'!AN22</f>
        <v>14261.5793777944</v>
      </c>
    </row>
    <row r="31" customFormat="false" ht="15" hidden="false" customHeight="true" outlineLevel="0" collapsed="false">
      <c r="B31" s="119" t="str">
        <f aca="false">'Base Novo Hamburgo'!B23</f>
        <v>APS SANTO ANTÔNIO DA PATRULHA</v>
      </c>
      <c r="C31" s="273" t="n">
        <f aca="false">VLOOKUP(B31,Unidades!$D$5:$G$35,4,)</f>
        <v>0.04</v>
      </c>
      <c r="D31" s="274" t="n">
        <f aca="false">'Base Novo Hamburgo'!AD23*12+'Base Novo Hamburgo'!AE23*4+'Base Novo Hamburgo'!AF23*2+'Base Novo Hamburgo'!AG23</f>
        <v>7981.58754874529</v>
      </c>
      <c r="E31" s="274" t="n">
        <f aca="false">'Base Novo Hamburgo'!AK23*12+'Base Novo Hamburgo'!AL23*4+'Base Novo Hamburgo'!AM23*2+'Base Novo Hamburgo'!AN23</f>
        <v>10371.2748608396</v>
      </c>
    </row>
    <row r="32" customFormat="false" ht="15" hidden="false" customHeight="true" outlineLevel="0" collapsed="false">
      <c r="B32" s="119" t="str">
        <f aca="false">'Base Novo Hamburgo'!B24</f>
        <v>APS OSÓRIO</v>
      </c>
      <c r="C32" s="273" t="n">
        <f aca="false">VLOOKUP(B32,Unidades!$D$5:$G$35,4,)</f>
        <v>0.02</v>
      </c>
      <c r="D32" s="274" t="n">
        <f aca="false">'Base Novo Hamburgo'!AD24*12+'Base Novo Hamburgo'!AE24*4+'Base Novo Hamburgo'!AF24*2+'Base Novo Hamburgo'!AG24</f>
        <v>14632.3577849997</v>
      </c>
      <c r="E32" s="274" t="n">
        <f aca="false">'Base Novo Hamburgo'!AK24*12+'Base Novo Hamburgo'!AL24*4+'Base Novo Hamburgo'!AM24*2+'Base Novo Hamburgo'!AN24</f>
        <v>18593.3370373991</v>
      </c>
    </row>
    <row r="33" customFormat="false" ht="15" hidden="false" customHeight="true" outlineLevel="0" collapsed="false">
      <c r="B33" s="119" t="str">
        <f aca="false">'Base Novo Hamburgo'!B25</f>
        <v>APS BUTIÁ</v>
      </c>
      <c r="C33" s="273" t="n">
        <f aca="false">VLOOKUP(B33,Unidades!$D$5:$G$35,4,)</f>
        <v>0.03</v>
      </c>
      <c r="D33" s="274" t="n">
        <f aca="false">'Base Novo Hamburgo'!AD25*12+'Base Novo Hamburgo'!AE25*4+'Base Novo Hamburgo'!AF25*2+'Base Novo Hamburgo'!AG25</f>
        <v>9622.44895296544</v>
      </c>
      <c r="E33" s="274" t="n">
        <f aca="false">'Base Novo Hamburgo'!AK25*12+'Base Novo Hamburgo'!AL25*4+'Base Novo Hamburgo'!AM25*2+'Base Novo Hamburgo'!AN25</f>
        <v>12363.8846596653</v>
      </c>
    </row>
    <row r="34" customFormat="false" ht="15" hidden="false" customHeight="true" outlineLevel="0" collapsed="false">
      <c r="B34" s="119" t="str">
        <f aca="false">'Base Novo Hamburgo'!B26</f>
        <v>APS SÃO JERÔNIMO</v>
      </c>
      <c r="C34" s="273" t="n">
        <f aca="false">VLOOKUP(B34,Unidades!$D$5:$G$35,4,)</f>
        <v>0.03</v>
      </c>
      <c r="D34" s="274" t="n">
        <f aca="false">'Base Novo Hamburgo'!AD26*12+'Base Novo Hamburgo'!AE26*4+'Base Novo Hamburgo'!AF26*2+'Base Novo Hamburgo'!AG26</f>
        <v>11724.5603804361</v>
      </c>
      <c r="E34" s="274" t="n">
        <f aca="false">'Base Novo Hamburgo'!AK26*12+'Base Novo Hamburgo'!AL26*4+'Base Novo Hamburgo'!AM26*2+'Base Novo Hamburgo'!AN26</f>
        <v>15064.8876328223</v>
      </c>
    </row>
    <row r="35" customFormat="false" ht="15" hidden="false" customHeight="true" outlineLevel="0" collapsed="false">
      <c r="B35" s="119" t="str">
        <f aca="false">'Base Novo Hamburgo'!B27</f>
        <v>APS TAQUARI</v>
      </c>
      <c r="C35" s="273" t="n">
        <f aca="false">VLOOKUP(B35,Unidades!$D$5:$G$35,4,)</f>
        <v>0.02</v>
      </c>
      <c r="D35" s="274" t="n">
        <f aca="false">'Base Novo Hamburgo'!AD27*12+'Base Novo Hamburgo'!AE27*4+'Base Novo Hamburgo'!AF27*2+'Base Novo Hamburgo'!AG27</f>
        <v>10685.2476701654</v>
      </c>
      <c r="E35" s="274" t="n">
        <f aca="false">'Base Novo Hamburgo'!AK27*12+'Base Novo Hamburgo'!AL27*4+'Base Novo Hamburgo'!AM27*2+'Base Novo Hamburgo'!AN27</f>
        <v>13577.7442144792</v>
      </c>
    </row>
    <row r="36" customFormat="false" ht="15" hidden="false" customHeight="false" outlineLevel="0" collapsed="false">
      <c r="B36" s="270" t="s">
        <v>96</v>
      </c>
      <c r="C36" s="270"/>
      <c r="D36" s="279" t="n">
        <f aca="false">SUM(D5:D35)</f>
        <v>295033.093833967</v>
      </c>
      <c r="E36" s="279" t="n">
        <f aca="false">SUM(E5:E35)</f>
        <v>377949.099443941</v>
      </c>
    </row>
  </sheetData>
  <mergeCells count="2">
    <mergeCell ref="B2:M2"/>
    <mergeCell ref="B36:C36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A1:AME4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N4" activeCellId="0" sqref="N4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8" width="33.38"/>
    <col collapsed="false" customWidth="true" hidden="false" outlineLevel="0" max="4" min="3" style="18" width="14.75"/>
    <col collapsed="false" customWidth="true" hidden="false" outlineLevel="0" max="5" min="5" style="18" width="15.62"/>
    <col collapsed="false" customWidth="true" hidden="false" outlineLevel="0" max="6" min="6" style="18" width="13.76"/>
    <col collapsed="false" customWidth="true" hidden="false" outlineLevel="0" max="7" min="7" style="18" width="14.87"/>
    <col collapsed="false" customWidth="true" hidden="false" outlineLevel="0" max="8" min="8" style="18" width="14.38"/>
    <col collapsed="false" customWidth="true" hidden="false" outlineLevel="0" max="9" min="9" style="19" width="14"/>
    <col collapsed="false" customWidth="true" hidden="false" outlineLevel="0" max="10" min="10" style="18" width="14.87"/>
    <col collapsed="false" customWidth="true" hidden="false" outlineLevel="0" max="249" min="11" style="18" width="10.62"/>
    <col collapsed="false" customWidth="true" hidden="false" outlineLevel="0" max="1019" min="250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0" t="str">
        <f aca="false">"PLANILHA RESUMO "&amp;'Valor da Contratação'!B7&amp;""</f>
        <v>PLANILHA RESUMO POLO VIII</v>
      </c>
      <c r="C2" s="20"/>
      <c r="D2" s="20"/>
      <c r="E2" s="20"/>
      <c r="F2" s="20"/>
      <c r="G2" s="20"/>
      <c r="H2" s="20"/>
      <c r="I2" s="20"/>
      <c r="J2" s="21"/>
    </row>
    <row r="3" customFormat="false" ht="15" hidden="false" customHeight="true" outlineLevel="0" collapsed="false">
      <c r="B3" s="2"/>
      <c r="H3" s="2"/>
      <c r="I3" s="22"/>
    </row>
    <row r="4" customFormat="false" ht="46.5" hidden="false" customHeight="true" outlineLevel="0" collapsed="false">
      <c r="B4" s="23" t="s">
        <v>13</v>
      </c>
      <c r="C4" s="23" t="s">
        <v>14</v>
      </c>
      <c r="D4" s="23" t="s">
        <v>15</v>
      </c>
      <c r="E4" s="23" t="s">
        <v>16</v>
      </c>
      <c r="F4" s="23" t="s">
        <v>17</v>
      </c>
      <c r="G4" s="23" t="s">
        <v>18</v>
      </c>
      <c r="H4" s="23" t="s">
        <v>19</v>
      </c>
      <c r="I4" s="23" t="s">
        <v>20</v>
      </c>
    </row>
    <row r="5" customFormat="false" ht="19.5" hidden="false" customHeight="true" outlineLevel="0" collapsed="false">
      <c r="B5" s="24" t="s">
        <v>21</v>
      </c>
      <c r="C5" s="25" t="n">
        <f aca="false">'Base Caxias do Sul'!C17</f>
        <v>9708.88</v>
      </c>
      <c r="D5" s="26" t="n">
        <f aca="false">'Base Caxias do Sul'!AT10</f>
        <v>9841.18007613349</v>
      </c>
      <c r="E5" s="26" t="n">
        <f aca="false">D5*12</f>
        <v>118094.160913602</v>
      </c>
      <c r="F5" s="26" t="n">
        <f aca="false">'Base Caxias do Sul'!AT12</f>
        <v>25944.9292916247</v>
      </c>
      <c r="G5" s="26" t="n">
        <f aca="false">F5*12</f>
        <v>311339.151499496</v>
      </c>
      <c r="H5" s="26" t="n">
        <f aca="false">D5+F5</f>
        <v>35786.1093677581</v>
      </c>
      <c r="I5" s="26" t="n">
        <f aca="false">H5*12</f>
        <v>429433.312413098</v>
      </c>
    </row>
    <row r="6" customFormat="false" ht="19.5" hidden="false" customHeight="true" outlineLevel="0" collapsed="false">
      <c r="B6" s="24" t="s">
        <v>22</v>
      </c>
      <c r="C6" s="25" t="n">
        <f aca="false">'Base Novo Hamburgo'!C28</f>
        <v>31388.56</v>
      </c>
      <c r="D6" s="26" t="n">
        <f aca="false">'Base Novo Hamburgo'!AT10</f>
        <v>21654.5782108616</v>
      </c>
      <c r="E6" s="26" t="n">
        <f aca="false">D6*12</f>
        <v>259854.938530339</v>
      </c>
      <c r="F6" s="26" t="n">
        <f aca="false">'Base Novo Hamburgo'!AT12</f>
        <v>57089.3425559078</v>
      </c>
      <c r="G6" s="26" t="n">
        <f aca="false">F6*12</f>
        <v>685072.110670893</v>
      </c>
      <c r="H6" s="26" t="n">
        <f aca="false">D6+F6</f>
        <v>78743.9207667693</v>
      </c>
      <c r="I6" s="26" t="n">
        <f aca="false">H6*12</f>
        <v>944927.049201232</v>
      </c>
    </row>
    <row r="7" customFormat="false" ht="19.5" hidden="false" customHeight="true" outlineLevel="0" collapsed="false">
      <c r="B7" s="27" t="str">
        <f aca="false">"TOTAL "&amp;'Valor da Contratação'!B7&amp;""</f>
        <v>TOTAL POLO VIII</v>
      </c>
      <c r="C7" s="28" t="n">
        <f aca="false">SUM(C5:C6)</f>
        <v>41097.44</v>
      </c>
      <c r="D7" s="29" t="n">
        <f aca="false">SUM(D5:D6)</f>
        <v>31495.7582869951</v>
      </c>
      <c r="E7" s="29" t="n">
        <f aca="false">SUM(E5:E6)</f>
        <v>377949.099443941</v>
      </c>
      <c r="F7" s="29" t="n">
        <f aca="false">SUM(F5:F6)</f>
        <v>83034.2718475324</v>
      </c>
      <c r="G7" s="29" t="n">
        <f aca="false">SUM(G5:G6)</f>
        <v>996411.262170389</v>
      </c>
      <c r="H7" s="29" t="n">
        <f aca="false">SUM(H5:H6)</f>
        <v>114530.030134527</v>
      </c>
      <c r="I7" s="29" t="n">
        <f aca="false">SUM(I5:I6)</f>
        <v>1374360.36161433</v>
      </c>
    </row>
    <row r="8" customFormat="false" ht="24.75" hidden="false" customHeight="true" outlineLevel="0" collapsed="false">
      <c r="B8" s="2"/>
      <c r="C8" s="2"/>
      <c r="D8" s="2"/>
      <c r="E8" s="2"/>
      <c r="F8" s="2"/>
      <c r="G8" s="30"/>
      <c r="H8" s="2"/>
      <c r="I8" s="22"/>
    </row>
    <row r="9" customFormat="false" ht="27" hidden="false" customHeight="true" outlineLevel="0" collapsed="false">
      <c r="A9" s="31"/>
      <c r="B9" s="32" t="str">
        <f aca="false">"BASE "&amp;B5</f>
        <v>BASE CAXIAS DO SUL</v>
      </c>
      <c r="C9" s="33" t="s">
        <v>23</v>
      </c>
      <c r="D9" s="33"/>
      <c r="E9" s="33"/>
      <c r="F9" s="33" t="s">
        <v>24</v>
      </c>
      <c r="G9" s="33"/>
      <c r="H9" s="33"/>
      <c r="I9" s="34" t="s">
        <v>25</v>
      </c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  <c r="CV9" s="31"/>
      <c r="CW9" s="31"/>
      <c r="CX9" s="31"/>
      <c r="CY9" s="31"/>
      <c r="CZ9" s="31"/>
      <c r="DA9" s="31"/>
      <c r="DB9" s="31"/>
      <c r="DC9" s="31"/>
      <c r="DD9" s="31"/>
      <c r="DE9" s="31"/>
      <c r="DF9" s="31"/>
      <c r="DG9" s="31"/>
      <c r="DH9" s="31"/>
      <c r="DI9" s="31"/>
      <c r="DJ9" s="31"/>
      <c r="DK9" s="31"/>
      <c r="DL9" s="31"/>
      <c r="DM9" s="31"/>
      <c r="DN9" s="31"/>
      <c r="DO9" s="31"/>
      <c r="DP9" s="31"/>
      <c r="DQ9" s="31"/>
      <c r="DR9" s="31"/>
      <c r="DS9" s="31"/>
      <c r="DT9" s="31"/>
      <c r="DU9" s="31"/>
      <c r="DV9" s="31"/>
      <c r="DW9" s="31"/>
      <c r="DX9" s="31"/>
      <c r="DY9" s="31"/>
      <c r="DZ9" s="31"/>
      <c r="EA9" s="31"/>
      <c r="EB9" s="31"/>
      <c r="EC9" s="31"/>
      <c r="ED9" s="31"/>
      <c r="EE9" s="31"/>
      <c r="EF9" s="31"/>
      <c r="EG9" s="31"/>
      <c r="EH9" s="31"/>
      <c r="EI9" s="31"/>
      <c r="EJ9" s="31"/>
      <c r="EK9" s="31"/>
      <c r="EL9" s="31"/>
      <c r="EM9" s="31"/>
      <c r="EN9" s="31"/>
      <c r="EO9" s="31"/>
      <c r="EP9" s="31"/>
      <c r="EQ9" s="31"/>
      <c r="ER9" s="31"/>
      <c r="ES9" s="31"/>
      <c r="ET9" s="31"/>
      <c r="EU9" s="31"/>
      <c r="EV9" s="31"/>
      <c r="EW9" s="31"/>
      <c r="EX9" s="31"/>
      <c r="EY9" s="31"/>
      <c r="EZ9" s="31"/>
      <c r="FA9" s="31"/>
      <c r="FB9" s="31"/>
      <c r="FC9" s="31"/>
      <c r="FD9" s="31"/>
      <c r="FE9" s="31"/>
      <c r="FF9" s="31"/>
      <c r="FG9" s="31"/>
      <c r="FH9" s="31"/>
      <c r="FI9" s="31"/>
      <c r="FJ9" s="31"/>
      <c r="FK9" s="31"/>
      <c r="FL9" s="31"/>
      <c r="FM9" s="31"/>
      <c r="FN9" s="31"/>
      <c r="FO9" s="31"/>
      <c r="FP9" s="31"/>
      <c r="FQ9" s="31"/>
      <c r="FR9" s="31"/>
      <c r="FS9" s="31"/>
      <c r="FT9" s="31"/>
      <c r="FU9" s="31"/>
      <c r="FV9" s="31"/>
      <c r="FW9" s="31"/>
      <c r="FX9" s="31"/>
      <c r="FY9" s="31"/>
      <c r="FZ9" s="31"/>
      <c r="GA9" s="31"/>
      <c r="GB9" s="31"/>
      <c r="GC9" s="31"/>
      <c r="GD9" s="31"/>
      <c r="GE9" s="31"/>
      <c r="GF9" s="31"/>
      <c r="GG9" s="31"/>
      <c r="GH9" s="31"/>
      <c r="GI9" s="31"/>
      <c r="GJ9" s="31"/>
      <c r="GK9" s="31"/>
      <c r="GL9" s="31"/>
      <c r="GM9" s="31"/>
      <c r="GN9" s="31"/>
      <c r="GO9" s="31"/>
      <c r="GP9" s="31"/>
      <c r="GQ9" s="31"/>
      <c r="GR9" s="31"/>
      <c r="GS9" s="31"/>
      <c r="GT9" s="31"/>
      <c r="GU9" s="31"/>
      <c r="GV9" s="31"/>
      <c r="GW9" s="31"/>
      <c r="GX9" s="31"/>
      <c r="GY9" s="31"/>
      <c r="GZ9" s="31"/>
      <c r="HA9" s="31"/>
      <c r="HB9" s="31"/>
      <c r="HC9" s="31"/>
      <c r="HD9" s="31"/>
      <c r="HE9" s="31"/>
      <c r="HF9" s="31"/>
      <c r="HG9" s="31"/>
      <c r="HH9" s="31"/>
      <c r="HI9" s="31"/>
      <c r="HJ9" s="31"/>
      <c r="HK9" s="31"/>
      <c r="HL9" s="31"/>
      <c r="HM9" s="31"/>
      <c r="HN9" s="31"/>
      <c r="HO9" s="31"/>
      <c r="HP9" s="31"/>
      <c r="HQ9" s="31"/>
      <c r="HR9" s="31"/>
      <c r="HS9" s="31"/>
      <c r="HT9" s="31"/>
      <c r="HU9" s="31"/>
      <c r="HV9" s="31"/>
      <c r="HW9" s="31"/>
      <c r="HX9" s="31"/>
      <c r="HY9" s="31"/>
      <c r="HZ9" s="31"/>
      <c r="IA9" s="31"/>
      <c r="IB9" s="31"/>
      <c r="IC9" s="31"/>
      <c r="ID9" s="31"/>
      <c r="IE9" s="31"/>
      <c r="IF9" s="31"/>
      <c r="IG9" s="31"/>
      <c r="IH9" s="31"/>
      <c r="II9" s="31"/>
      <c r="IJ9" s="31"/>
      <c r="IK9" s="31"/>
      <c r="IL9" s="31"/>
      <c r="IM9" s="31"/>
      <c r="IN9" s="31"/>
      <c r="IO9" s="31"/>
      <c r="IP9" s="35"/>
      <c r="IQ9" s="31"/>
      <c r="IR9" s="31"/>
      <c r="IS9" s="31"/>
      <c r="IT9" s="31"/>
      <c r="IU9" s="31"/>
      <c r="IV9" s="31"/>
      <c r="IW9" s="31"/>
      <c r="IX9" s="31"/>
      <c r="IY9" s="31"/>
      <c r="IZ9" s="31"/>
      <c r="JA9" s="31"/>
      <c r="JB9" s="31"/>
      <c r="JC9" s="31"/>
      <c r="JD9" s="31"/>
      <c r="JE9" s="31"/>
      <c r="JF9" s="31"/>
      <c r="JG9" s="31"/>
      <c r="JH9" s="31"/>
      <c r="JI9" s="31"/>
      <c r="JJ9" s="31"/>
      <c r="JK9" s="31"/>
      <c r="JL9" s="31"/>
      <c r="JM9" s="31"/>
      <c r="JN9" s="31"/>
      <c r="JO9" s="31"/>
      <c r="JP9" s="31"/>
      <c r="JQ9" s="31"/>
      <c r="JR9" s="31"/>
      <c r="JS9" s="31"/>
      <c r="JT9" s="31"/>
      <c r="JU9" s="31"/>
      <c r="JV9" s="31"/>
      <c r="JW9" s="31"/>
      <c r="JX9" s="31"/>
      <c r="JY9" s="31"/>
      <c r="JZ9" s="31"/>
      <c r="KA9" s="31"/>
      <c r="KB9" s="31"/>
      <c r="KC9" s="31"/>
      <c r="KD9" s="31"/>
      <c r="KE9" s="31"/>
      <c r="KF9" s="31"/>
      <c r="KG9" s="31"/>
      <c r="KH9" s="31"/>
      <c r="KI9" s="31"/>
      <c r="KJ9" s="31"/>
      <c r="KK9" s="31"/>
      <c r="KL9" s="31"/>
      <c r="KM9" s="31"/>
      <c r="KN9" s="31"/>
      <c r="KO9" s="31"/>
      <c r="KP9" s="31"/>
      <c r="KQ9" s="31"/>
      <c r="KR9" s="31"/>
      <c r="KS9" s="31"/>
      <c r="KT9" s="31"/>
      <c r="KU9" s="31"/>
      <c r="KV9" s="31"/>
      <c r="KW9" s="31"/>
      <c r="KX9" s="31"/>
      <c r="KY9" s="31"/>
      <c r="KZ9" s="31"/>
      <c r="LA9" s="31"/>
      <c r="LB9" s="31"/>
      <c r="LC9" s="31"/>
      <c r="LD9" s="31"/>
      <c r="LE9" s="31"/>
      <c r="LF9" s="31"/>
      <c r="LG9" s="31"/>
      <c r="LH9" s="31"/>
      <c r="LI9" s="31"/>
      <c r="LJ9" s="31"/>
      <c r="LK9" s="31"/>
      <c r="LL9" s="31"/>
      <c r="LM9" s="31"/>
      <c r="LN9" s="31"/>
      <c r="LO9" s="31"/>
      <c r="LP9" s="31"/>
      <c r="LQ9" s="31"/>
      <c r="LR9" s="31"/>
      <c r="LS9" s="31"/>
      <c r="LT9" s="31"/>
      <c r="LU9" s="31"/>
      <c r="LV9" s="31"/>
      <c r="LW9" s="31"/>
      <c r="LX9" s="31"/>
      <c r="LY9" s="31"/>
      <c r="LZ9" s="31"/>
      <c r="MA9" s="31"/>
      <c r="MB9" s="31"/>
      <c r="MC9" s="31"/>
      <c r="MD9" s="31"/>
      <c r="ME9" s="31"/>
      <c r="MF9" s="31"/>
      <c r="MG9" s="31"/>
      <c r="MH9" s="31"/>
      <c r="MI9" s="31"/>
      <c r="MJ9" s="31"/>
      <c r="MK9" s="31"/>
      <c r="ML9" s="31"/>
      <c r="MM9" s="31"/>
      <c r="MN9" s="31"/>
      <c r="MO9" s="31"/>
      <c r="MP9" s="31"/>
      <c r="MQ9" s="31"/>
      <c r="MR9" s="31"/>
      <c r="MS9" s="31"/>
      <c r="MT9" s="31"/>
      <c r="MU9" s="31"/>
      <c r="MV9" s="31"/>
      <c r="MW9" s="31"/>
      <c r="MX9" s="31"/>
      <c r="MY9" s="31"/>
      <c r="MZ9" s="31"/>
      <c r="NA9" s="31"/>
      <c r="NB9" s="31"/>
      <c r="NC9" s="31"/>
      <c r="ND9" s="31"/>
      <c r="NE9" s="31"/>
      <c r="NF9" s="31"/>
      <c r="NG9" s="31"/>
      <c r="NH9" s="31"/>
      <c r="NI9" s="31"/>
      <c r="NJ9" s="31"/>
      <c r="NK9" s="31"/>
      <c r="NL9" s="31"/>
      <c r="NM9" s="31"/>
      <c r="NN9" s="31"/>
      <c r="NO9" s="31"/>
      <c r="NP9" s="31"/>
      <c r="NQ9" s="31"/>
      <c r="NR9" s="31"/>
      <c r="NS9" s="31"/>
      <c r="NT9" s="31"/>
      <c r="NU9" s="31"/>
      <c r="NV9" s="31"/>
      <c r="NW9" s="31"/>
      <c r="NX9" s="31"/>
      <c r="NY9" s="31"/>
      <c r="NZ9" s="31"/>
      <c r="OA9" s="31"/>
      <c r="OB9" s="31"/>
      <c r="OC9" s="31"/>
      <c r="OD9" s="31"/>
      <c r="OE9" s="31"/>
      <c r="OF9" s="31"/>
      <c r="OG9" s="31"/>
      <c r="OH9" s="31"/>
      <c r="OI9" s="31"/>
      <c r="OJ9" s="31"/>
      <c r="OK9" s="31"/>
      <c r="OL9" s="31"/>
      <c r="OM9" s="31"/>
      <c r="ON9" s="31"/>
      <c r="OO9" s="31"/>
      <c r="OP9" s="31"/>
      <c r="OQ9" s="31"/>
      <c r="OR9" s="31"/>
      <c r="OS9" s="31"/>
      <c r="OT9" s="31"/>
      <c r="OU9" s="31"/>
      <c r="OV9" s="31"/>
      <c r="OW9" s="31"/>
      <c r="OX9" s="31"/>
      <c r="OY9" s="31"/>
      <c r="OZ9" s="31"/>
      <c r="PA9" s="31"/>
      <c r="PB9" s="31"/>
      <c r="PC9" s="31"/>
      <c r="PD9" s="31"/>
      <c r="PE9" s="31"/>
      <c r="PF9" s="31"/>
      <c r="PG9" s="31"/>
      <c r="PH9" s="31"/>
      <c r="PI9" s="31"/>
      <c r="PJ9" s="31"/>
      <c r="PK9" s="31"/>
      <c r="PL9" s="31"/>
      <c r="PM9" s="31"/>
      <c r="PN9" s="31"/>
      <c r="PO9" s="31"/>
      <c r="PP9" s="31"/>
      <c r="PQ9" s="31"/>
      <c r="PR9" s="31"/>
      <c r="PS9" s="31"/>
      <c r="PT9" s="31"/>
      <c r="PU9" s="31"/>
      <c r="PV9" s="31"/>
      <c r="PW9" s="31"/>
      <c r="PX9" s="31"/>
      <c r="PY9" s="31"/>
      <c r="PZ9" s="31"/>
      <c r="QA9" s="31"/>
      <c r="QB9" s="31"/>
      <c r="QC9" s="31"/>
      <c r="QD9" s="31"/>
      <c r="QE9" s="31"/>
      <c r="QF9" s="31"/>
      <c r="QG9" s="31"/>
      <c r="QH9" s="31"/>
      <c r="QI9" s="31"/>
      <c r="QJ9" s="31"/>
      <c r="QK9" s="31"/>
      <c r="QL9" s="31"/>
      <c r="QM9" s="31"/>
      <c r="QN9" s="31"/>
      <c r="QO9" s="31"/>
      <c r="QP9" s="31"/>
      <c r="QQ9" s="31"/>
      <c r="QR9" s="31"/>
      <c r="QS9" s="31"/>
      <c r="QT9" s="31"/>
      <c r="QU9" s="31"/>
      <c r="QV9" s="31"/>
      <c r="QW9" s="31"/>
      <c r="QX9" s="31"/>
      <c r="QY9" s="31"/>
      <c r="QZ9" s="31"/>
      <c r="RA9" s="31"/>
      <c r="RB9" s="31"/>
      <c r="RC9" s="31"/>
      <c r="RD9" s="31"/>
      <c r="RE9" s="31"/>
      <c r="RF9" s="31"/>
      <c r="RG9" s="31"/>
      <c r="RH9" s="31"/>
      <c r="RI9" s="31"/>
      <c r="RJ9" s="31"/>
      <c r="RK9" s="31"/>
      <c r="RL9" s="31"/>
      <c r="RM9" s="31"/>
      <c r="RN9" s="31"/>
      <c r="RO9" s="31"/>
      <c r="RP9" s="31"/>
      <c r="RQ9" s="31"/>
      <c r="RR9" s="31"/>
      <c r="RS9" s="31"/>
      <c r="RT9" s="31"/>
      <c r="RU9" s="31"/>
      <c r="RV9" s="31"/>
      <c r="RW9" s="31"/>
      <c r="RX9" s="31"/>
      <c r="RY9" s="31"/>
      <c r="RZ9" s="31"/>
      <c r="SA9" s="31"/>
      <c r="SB9" s="31"/>
      <c r="SC9" s="31"/>
      <c r="SD9" s="31"/>
      <c r="SE9" s="31"/>
      <c r="SF9" s="31"/>
      <c r="SG9" s="31"/>
      <c r="SH9" s="31"/>
      <c r="SI9" s="31"/>
      <c r="SJ9" s="31"/>
      <c r="SK9" s="31"/>
      <c r="SL9" s="31"/>
      <c r="SM9" s="31"/>
      <c r="SN9" s="31"/>
      <c r="SO9" s="31"/>
      <c r="SP9" s="31"/>
      <c r="SQ9" s="31"/>
      <c r="SR9" s="31"/>
      <c r="SS9" s="31"/>
      <c r="ST9" s="31"/>
      <c r="SU9" s="31"/>
      <c r="SV9" s="31"/>
      <c r="SW9" s="31"/>
      <c r="SX9" s="31"/>
      <c r="SY9" s="31"/>
      <c r="SZ9" s="31"/>
      <c r="TA9" s="31"/>
      <c r="TB9" s="31"/>
      <c r="TC9" s="31"/>
      <c r="TD9" s="31"/>
      <c r="TE9" s="31"/>
      <c r="TF9" s="31"/>
      <c r="TG9" s="31"/>
      <c r="TH9" s="31"/>
      <c r="TI9" s="31"/>
      <c r="TJ9" s="31"/>
      <c r="TK9" s="31"/>
      <c r="TL9" s="31"/>
      <c r="TM9" s="31"/>
      <c r="TN9" s="31"/>
      <c r="TO9" s="31"/>
      <c r="TP9" s="31"/>
      <c r="TQ9" s="31"/>
      <c r="TR9" s="31"/>
      <c r="TS9" s="31"/>
      <c r="TT9" s="31"/>
      <c r="TU9" s="31"/>
      <c r="TV9" s="31"/>
      <c r="TW9" s="31"/>
      <c r="TX9" s="31"/>
      <c r="TY9" s="31"/>
      <c r="TZ9" s="31"/>
      <c r="UA9" s="31"/>
      <c r="UB9" s="31"/>
      <c r="UC9" s="31"/>
      <c r="UD9" s="31"/>
      <c r="UE9" s="31"/>
      <c r="UF9" s="31"/>
      <c r="UG9" s="31"/>
      <c r="UH9" s="31"/>
      <c r="UI9" s="31"/>
      <c r="UJ9" s="31"/>
      <c r="UK9" s="31"/>
      <c r="UL9" s="31"/>
      <c r="UM9" s="31"/>
      <c r="UN9" s="31"/>
      <c r="UO9" s="31"/>
      <c r="UP9" s="31"/>
      <c r="UQ9" s="31"/>
      <c r="UR9" s="31"/>
      <c r="US9" s="31"/>
      <c r="UT9" s="31"/>
      <c r="UU9" s="31"/>
      <c r="UV9" s="31"/>
      <c r="UW9" s="31"/>
      <c r="UX9" s="31"/>
      <c r="UY9" s="31"/>
      <c r="UZ9" s="31"/>
      <c r="VA9" s="31"/>
      <c r="VB9" s="31"/>
      <c r="VC9" s="31"/>
      <c r="VD9" s="31"/>
      <c r="VE9" s="31"/>
      <c r="VF9" s="31"/>
      <c r="VG9" s="31"/>
      <c r="VH9" s="31"/>
      <c r="VI9" s="31"/>
      <c r="VJ9" s="31"/>
      <c r="VK9" s="31"/>
      <c r="VL9" s="31"/>
      <c r="VM9" s="31"/>
      <c r="VN9" s="31"/>
      <c r="VO9" s="31"/>
      <c r="VP9" s="31"/>
      <c r="VQ9" s="31"/>
      <c r="VR9" s="31"/>
      <c r="VS9" s="31"/>
      <c r="VT9" s="31"/>
      <c r="VU9" s="31"/>
      <c r="VV9" s="31"/>
      <c r="VW9" s="31"/>
      <c r="VX9" s="31"/>
      <c r="VY9" s="31"/>
      <c r="VZ9" s="31"/>
      <c r="WA9" s="31"/>
      <c r="WB9" s="31"/>
      <c r="WC9" s="31"/>
      <c r="WD9" s="31"/>
      <c r="WE9" s="31"/>
      <c r="WF9" s="31"/>
      <c r="WG9" s="31"/>
      <c r="WH9" s="31"/>
      <c r="WI9" s="31"/>
      <c r="WJ9" s="31"/>
      <c r="WK9" s="31"/>
      <c r="WL9" s="31"/>
      <c r="WM9" s="31"/>
      <c r="WN9" s="31"/>
      <c r="WO9" s="31"/>
      <c r="WP9" s="31"/>
      <c r="WQ9" s="31"/>
      <c r="WR9" s="31"/>
      <c r="WS9" s="31"/>
      <c r="WT9" s="31"/>
      <c r="WU9" s="31"/>
      <c r="WV9" s="31"/>
      <c r="WW9" s="31"/>
      <c r="WX9" s="31"/>
      <c r="WY9" s="31"/>
      <c r="WZ9" s="31"/>
      <c r="XA9" s="31"/>
      <c r="XB9" s="31"/>
      <c r="XC9" s="31"/>
      <c r="XD9" s="31"/>
      <c r="XE9" s="31"/>
      <c r="XF9" s="31"/>
      <c r="XG9" s="31"/>
      <c r="XH9" s="31"/>
      <c r="XI9" s="31"/>
      <c r="XJ9" s="31"/>
      <c r="XK9" s="31"/>
      <c r="XL9" s="31"/>
      <c r="XM9" s="31"/>
      <c r="XN9" s="31"/>
      <c r="XO9" s="31"/>
      <c r="XP9" s="31"/>
      <c r="XQ9" s="31"/>
      <c r="XR9" s="31"/>
      <c r="XS9" s="31"/>
      <c r="XT9" s="31"/>
      <c r="XU9" s="31"/>
      <c r="XV9" s="31"/>
      <c r="XW9" s="31"/>
      <c r="XX9" s="31"/>
      <c r="XY9" s="31"/>
      <c r="XZ9" s="31"/>
      <c r="YA9" s="31"/>
      <c r="YB9" s="31"/>
      <c r="YC9" s="31"/>
      <c r="YD9" s="31"/>
      <c r="YE9" s="31"/>
      <c r="YF9" s="31"/>
      <c r="YG9" s="31"/>
      <c r="YH9" s="31"/>
      <c r="YI9" s="31"/>
      <c r="YJ9" s="31"/>
      <c r="YK9" s="31"/>
      <c r="YL9" s="31"/>
      <c r="YM9" s="31"/>
      <c r="YN9" s="31"/>
      <c r="YO9" s="31"/>
      <c r="YP9" s="31"/>
      <c r="YQ9" s="31"/>
      <c r="YR9" s="31"/>
      <c r="YS9" s="31"/>
      <c r="YT9" s="31"/>
      <c r="YU9" s="31"/>
      <c r="YV9" s="31"/>
      <c r="YW9" s="31"/>
      <c r="YX9" s="31"/>
      <c r="YY9" s="31"/>
      <c r="YZ9" s="31"/>
      <c r="ZA9" s="31"/>
      <c r="ZB9" s="31"/>
      <c r="ZC9" s="31"/>
      <c r="ZD9" s="31"/>
      <c r="ZE9" s="31"/>
      <c r="ZF9" s="31"/>
      <c r="ZG9" s="31"/>
      <c r="ZH9" s="31"/>
      <c r="ZI9" s="31"/>
      <c r="ZJ9" s="31"/>
      <c r="ZK9" s="31"/>
      <c r="ZL9" s="31"/>
      <c r="ZM9" s="31"/>
      <c r="ZN9" s="31"/>
      <c r="ZO9" s="31"/>
      <c r="ZP9" s="31"/>
      <c r="ZQ9" s="31"/>
      <c r="ZR9" s="31"/>
      <c r="ZS9" s="31"/>
      <c r="ZT9" s="31"/>
      <c r="ZU9" s="31"/>
      <c r="ZV9" s="31"/>
      <c r="ZW9" s="31"/>
      <c r="ZX9" s="31"/>
      <c r="ZY9" s="31"/>
      <c r="ZZ9" s="31"/>
      <c r="AAA9" s="31"/>
      <c r="AAB9" s="31"/>
      <c r="AAC9" s="31"/>
      <c r="AAD9" s="31"/>
      <c r="AAE9" s="31"/>
      <c r="AAF9" s="31"/>
      <c r="AAG9" s="31"/>
      <c r="AAH9" s="31"/>
      <c r="AAI9" s="31"/>
      <c r="AAJ9" s="31"/>
      <c r="AAK9" s="31"/>
      <c r="AAL9" s="31"/>
      <c r="AAM9" s="31"/>
      <c r="AAN9" s="31"/>
      <c r="AAO9" s="31"/>
      <c r="AAP9" s="31"/>
      <c r="AAQ9" s="31"/>
      <c r="AAR9" s="31"/>
      <c r="AAS9" s="31"/>
      <c r="AAT9" s="31"/>
      <c r="AAU9" s="31"/>
      <c r="AAV9" s="31"/>
      <c r="AAW9" s="31"/>
      <c r="AAX9" s="31"/>
      <c r="AAY9" s="31"/>
      <c r="AAZ9" s="31"/>
      <c r="ABA9" s="31"/>
      <c r="ABB9" s="31"/>
      <c r="ABC9" s="31"/>
      <c r="ABD9" s="31"/>
      <c r="ABE9" s="31"/>
      <c r="ABF9" s="31"/>
      <c r="ABG9" s="31"/>
      <c r="ABH9" s="31"/>
      <c r="ABI9" s="31"/>
      <c r="ABJ9" s="31"/>
      <c r="ABK9" s="31"/>
      <c r="ABL9" s="31"/>
      <c r="ABM9" s="31"/>
      <c r="ABN9" s="31"/>
      <c r="ABO9" s="31"/>
      <c r="ABP9" s="31"/>
      <c r="ABQ9" s="31"/>
      <c r="ABR9" s="31"/>
      <c r="ABS9" s="31"/>
      <c r="ABT9" s="31"/>
      <c r="ABU9" s="31"/>
      <c r="ABV9" s="31"/>
      <c r="ABW9" s="31"/>
      <c r="ABX9" s="31"/>
      <c r="ABY9" s="31"/>
      <c r="ABZ9" s="31"/>
      <c r="ACA9" s="31"/>
      <c r="ACB9" s="31"/>
      <c r="ACC9" s="31"/>
      <c r="ACD9" s="31"/>
      <c r="ACE9" s="31"/>
      <c r="ACF9" s="31"/>
      <c r="ACG9" s="31"/>
      <c r="ACH9" s="31"/>
      <c r="ACI9" s="31"/>
      <c r="ACJ9" s="31"/>
      <c r="ACK9" s="31"/>
      <c r="ACL9" s="31"/>
      <c r="ACM9" s="31"/>
      <c r="ACN9" s="31"/>
      <c r="ACO9" s="31"/>
      <c r="ACP9" s="31"/>
      <c r="ACQ9" s="31"/>
      <c r="ACR9" s="31"/>
      <c r="ACS9" s="31"/>
      <c r="ACT9" s="31"/>
      <c r="ACU9" s="31"/>
      <c r="ACV9" s="31"/>
      <c r="ACW9" s="31"/>
      <c r="ACX9" s="31"/>
      <c r="ACY9" s="31"/>
      <c r="ACZ9" s="31"/>
      <c r="ADA9" s="31"/>
      <c r="ADB9" s="31"/>
      <c r="ADC9" s="31"/>
      <c r="ADD9" s="31"/>
      <c r="ADE9" s="31"/>
      <c r="ADF9" s="31"/>
      <c r="ADG9" s="31"/>
      <c r="ADH9" s="31"/>
      <c r="ADI9" s="31"/>
      <c r="ADJ9" s="31"/>
      <c r="ADK9" s="31"/>
      <c r="ADL9" s="31"/>
      <c r="ADM9" s="31"/>
      <c r="ADN9" s="31"/>
      <c r="ADO9" s="31"/>
      <c r="ADP9" s="31"/>
      <c r="ADQ9" s="31"/>
      <c r="ADR9" s="31"/>
      <c r="ADS9" s="31"/>
      <c r="ADT9" s="31"/>
      <c r="ADU9" s="31"/>
      <c r="ADV9" s="31"/>
      <c r="ADW9" s="31"/>
      <c r="ADX9" s="31"/>
      <c r="ADY9" s="31"/>
      <c r="ADZ9" s="31"/>
      <c r="AEA9" s="31"/>
      <c r="AEB9" s="31"/>
      <c r="AEC9" s="31"/>
      <c r="AED9" s="31"/>
      <c r="AEE9" s="31"/>
      <c r="AEF9" s="31"/>
      <c r="AEG9" s="31"/>
      <c r="AEH9" s="31"/>
      <c r="AEI9" s="31"/>
      <c r="AEJ9" s="31"/>
      <c r="AEK9" s="31"/>
      <c r="AEL9" s="31"/>
      <c r="AEM9" s="31"/>
      <c r="AEN9" s="31"/>
      <c r="AEO9" s="31"/>
      <c r="AEP9" s="31"/>
      <c r="AEQ9" s="31"/>
      <c r="AER9" s="31"/>
      <c r="AES9" s="31"/>
      <c r="AET9" s="31"/>
      <c r="AEU9" s="31"/>
      <c r="AEV9" s="31"/>
      <c r="AEW9" s="31"/>
      <c r="AEX9" s="31"/>
      <c r="AEY9" s="31"/>
      <c r="AEZ9" s="31"/>
      <c r="AFA9" s="31"/>
      <c r="AFB9" s="31"/>
      <c r="AFC9" s="31"/>
      <c r="AFD9" s="31"/>
      <c r="AFE9" s="31"/>
      <c r="AFF9" s="31"/>
      <c r="AFG9" s="31"/>
      <c r="AFH9" s="31"/>
      <c r="AFI9" s="31"/>
      <c r="AFJ9" s="31"/>
      <c r="AFK9" s="31"/>
      <c r="AFL9" s="31"/>
      <c r="AFM9" s="31"/>
      <c r="AFN9" s="31"/>
      <c r="AFO9" s="31"/>
      <c r="AFP9" s="31"/>
      <c r="AFQ9" s="31"/>
      <c r="AFR9" s="31"/>
      <c r="AFS9" s="31"/>
      <c r="AFT9" s="31"/>
      <c r="AFU9" s="31"/>
      <c r="AFV9" s="31"/>
      <c r="AFW9" s="31"/>
      <c r="AFX9" s="31"/>
      <c r="AFY9" s="31"/>
      <c r="AFZ9" s="31"/>
      <c r="AGA9" s="31"/>
      <c r="AGB9" s="31"/>
      <c r="AGC9" s="31"/>
      <c r="AGD9" s="31"/>
      <c r="AGE9" s="31"/>
      <c r="AGF9" s="31"/>
      <c r="AGG9" s="31"/>
      <c r="AGH9" s="31"/>
      <c r="AGI9" s="31"/>
      <c r="AGJ9" s="31"/>
      <c r="AGK9" s="31"/>
      <c r="AGL9" s="31"/>
      <c r="AGM9" s="31"/>
      <c r="AGN9" s="31"/>
      <c r="AGO9" s="31"/>
      <c r="AGP9" s="31"/>
      <c r="AGQ9" s="31"/>
      <c r="AGR9" s="31"/>
      <c r="AGS9" s="31"/>
      <c r="AGT9" s="31"/>
      <c r="AGU9" s="31"/>
      <c r="AGV9" s="31"/>
      <c r="AGW9" s="31"/>
      <c r="AGX9" s="31"/>
      <c r="AGY9" s="31"/>
      <c r="AGZ9" s="31"/>
      <c r="AHA9" s="31"/>
      <c r="AHB9" s="31"/>
      <c r="AHC9" s="31"/>
      <c r="AHD9" s="31"/>
      <c r="AHE9" s="31"/>
      <c r="AHF9" s="31"/>
      <c r="AHG9" s="31"/>
      <c r="AHH9" s="31"/>
      <c r="AHI9" s="31"/>
      <c r="AHJ9" s="31"/>
      <c r="AHK9" s="31"/>
      <c r="AHL9" s="31"/>
      <c r="AHM9" s="31"/>
      <c r="AHN9" s="31"/>
      <c r="AHO9" s="31"/>
      <c r="AHP9" s="31"/>
      <c r="AHQ9" s="31"/>
      <c r="AHR9" s="31"/>
      <c r="AHS9" s="31"/>
      <c r="AHT9" s="31"/>
      <c r="AHU9" s="31"/>
      <c r="AHV9" s="31"/>
      <c r="AHW9" s="31"/>
      <c r="AHX9" s="31"/>
      <c r="AHY9" s="31"/>
      <c r="AHZ9" s="31"/>
      <c r="AIA9" s="31"/>
      <c r="AIB9" s="31"/>
      <c r="AIC9" s="31"/>
      <c r="AID9" s="31"/>
      <c r="AIE9" s="31"/>
      <c r="AIF9" s="31"/>
      <c r="AIG9" s="31"/>
      <c r="AIH9" s="31"/>
      <c r="AII9" s="31"/>
      <c r="AIJ9" s="31"/>
      <c r="AIK9" s="31"/>
      <c r="AIL9" s="31"/>
      <c r="AIM9" s="31"/>
      <c r="AIN9" s="31"/>
      <c r="AIO9" s="31"/>
      <c r="AIP9" s="31"/>
      <c r="AIQ9" s="31"/>
      <c r="AIR9" s="31"/>
      <c r="AIS9" s="31"/>
      <c r="AIT9" s="31"/>
      <c r="AIU9" s="31"/>
      <c r="AIV9" s="31"/>
      <c r="AIW9" s="31"/>
      <c r="AIX9" s="31"/>
      <c r="AIY9" s="31"/>
      <c r="AIZ9" s="31"/>
      <c r="AJA9" s="31"/>
      <c r="AJB9" s="31"/>
      <c r="AJC9" s="31"/>
      <c r="AJD9" s="31"/>
      <c r="AJE9" s="31"/>
      <c r="AJF9" s="31"/>
      <c r="AJG9" s="31"/>
      <c r="AJH9" s="31"/>
      <c r="AJI9" s="31"/>
      <c r="AJJ9" s="31"/>
      <c r="AJK9" s="31"/>
      <c r="AJL9" s="31"/>
      <c r="AJM9" s="31"/>
      <c r="AJN9" s="31"/>
      <c r="AJO9" s="31"/>
      <c r="AJP9" s="31"/>
      <c r="AJQ9" s="31"/>
      <c r="AJR9" s="31"/>
      <c r="AJS9" s="31"/>
      <c r="AJT9" s="31"/>
      <c r="AJU9" s="31"/>
      <c r="AJV9" s="31"/>
      <c r="AJW9" s="31"/>
      <c r="AJX9" s="31"/>
      <c r="AJY9" s="31"/>
      <c r="AJZ9" s="31"/>
      <c r="AKA9" s="31"/>
      <c r="AKB9" s="31"/>
      <c r="AKC9" s="31"/>
      <c r="AKD9" s="31"/>
      <c r="AKE9" s="31"/>
      <c r="AKF9" s="31"/>
      <c r="AKG9" s="31"/>
      <c r="AKH9" s="31"/>
      <c r="AKI9" s="31"/>
      <c r="AKJ9" s="31"/>
      <c r="AKK9" s="31"/>
      <c r="AKL9" s="31"/>
      <c r="AKM9" s="31"/>
      <c r="AKN9" s="31"/>
      <c r="AKO9" s="31"/>
      <c r="AKP9" s="31"/>
      <c r="AKQ9" s="31"/>
      <c r="AKR9" s="31"/>
      <c r="AKS9" s="31"/>
      <c r="AKT9" s="31"/>
      <c r="AKU9" s="31"/>
      <c r="AKV9" s="31"/>
      <c r="AKW9" s="31"/>
      <c r="AKX9" s="31"/>
      <c r="AKY9" s="31"/>
      <c r="AKZ9" s="31"/>
      <c r="ALA9" s="31"/>
      <c r="ALB9" s="31"/>
      <c r="ALC9" s="31"/>
      <c r="ALD9" s="31"/>
      <c r="ALE9" s="31"/>
      <c r="ALF9" s="31"/>
      <c r="ALG9" s="31"/>
      <c r="ALH9" s="31"/>
      <c r="ALI9" s="31"/>
      <c r="ALJ9" s="31"/>
      <c r="ALK9" s="31"/>
      <c r="ALL9" s="31"/>
      <c r="ALM9" s="31"/>
      <c r="ALN9" s="31"/>
      <c r="ALO9" s="31"/>
      <c r="ALP9" s="31"/>
      <c r="ALQ9" s="31"/>
      <c r="ALR9" s="31"/>
      <c r="ALS9" s="31"/>
      <c r="ALT9" s="31"/>
      <c r="ALU9" s="31"/>
      <c r="ALV9" s="31"/>
      <c r="ALW9" s="31"/>
      <c r="ALX9" s="31"/>
      <c r="ALY9" s="31"/>
      <c r="ALZ9" s="31"/>
      <c r="AMA9" s="31"/>
      <c r="AMB9" s="31"/>
      <c r="AMC9" s="31"/>
      <c r="AMD9" s="31"/>
      <c r="AME9" s="31"/>
    </row>
    <row r="10" customFormat="false" ht="22.5" hidden="false" customHeight="true" outlineLevel="0" collapsed="false">
      <c r="A10" s="31"/>
      <c r="B10" s="32"/>
      <c r="C10" s="36" t="s">
        <v>26</v>
      </c>
      <c r="D10" s="36" t="s">
        <v>27</v>
      </c>
      <c r="E10" s="36" t="s">
        <v>28</v>
      </c>
      <c r="F10" s="37" t="s">
        <v>26</v>
      </c>
      <c r="G10" s="37" t="s">
        <v>27</v>
      </c>
      <c r="H10" s="37" t="s">
        <v>28</v>
      </c>
      <c r="I10" s="37" t="s">
        <v>29</v>
      </c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  <c r="CV10" s="31"/>
      <c r="CW10" s="31"/>
      <c r="CX10" s="31"/>
      <c r="CY10" s="31"/>
      <c r="CZ10" s="31"/>
      <c r="DA10" s="31"/>
      <c r="DB10" s="31"/>
      <c r="DC10" s="31"/>
      <c r="DD10" s="31"/>
      <c r="DE10" s="31"/>
      <c r="DF10" s="31"/>
      <c r="DG10" s="31"/>
      <c r="DH10" s="31"/>
      <c r="DI10" s="31"/>
      <c r="DJ10" s="31"/>
      <c r="DK10" s="31"/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31"/>
      <c r="EF10" s="31"/>
      <c r="EG10" s="31"/>
      <c r="EH10" s="31"/>
      <c r="EI10" s="31"/>
      <c r="EJ10" s="31"/>
      <c r="EK10" s="31"/>
      <c r="EL10" s="31"/>
      <c r="EM10" s="31"/>
      <c r="EN10" s="31"/>
      <c r="EO10" s="31"/>
      <c r="EP10" s="31"/>
      <c r="EQ10" s="31"/>
      <c r="ER10" s="31"/>
      <c r="ES10" s="31"/>
      <c r="ET10" s="31"/>
      <c r="EU10" s="31"/>
      <c r="EV10" s="31"/>
      <c r="EW10" s="31"/>
      <c r="EX10" s="31"/>
      <c r="EY10" s="31"/>
      <c r="EZ10" s="31"/>
      <c r="FA10" s="31"/>
      <c r="FB10" s="31"/>
      <c r="FC10" s="31"/>
      <c r="FD10" s="31"/>
      <c r="FE10" s="31"/>
      <c r="FF10" s="31"/>
      <c r="FG10" s="31"/>
      <c r="FH10" s="31"/>
      <c r="FI10" s="31"/>
      <c r="FJ10" s="31"/>
      <c r="FK10" s="31"/>
      <c r="FL10" s="31"/>
      <c r="FM10" s="31"/>
      <c r="FN10" s="31"/>
      <c r="FO10" s="31"/>
      <c r="FP10" s="31"/>
      <c r="FQ10" s="31"/>
      <c r="FR10" s="31"/>
      <c r="FS10" s="31"/>
      <c r="FT10" s="31"/>
      <c r="FU10" s="31"/>
      <c r="FV10" s="31"/>
      <c r="FW10" s="31"/>
      <c r="FX10" s="31"/>
      <c r="FY10" s="31"/>
      <c r="FZ10" s="31"/>
      <c r="GA10" s="31"/>
      <c r="GB10" s="31"/>
      <c r="GC10" s="31"/>
      <c r="GD10" s="31"/>
      <c r="GE10" s="31"/>
      <c r="GF10" s="31"/>
      <c r="GG10" s="31"/>
      <c r="GH10" s="31"/>
      <c r="GI10" s="31"/>
      <c r="GJ10" s="31"/>
      <c r="GK10" s="31"/>
      <c r="GL10" s="31"/>
      <c r="GM10" s="31"/>
      <c r="GN10" s="31"/>
      <c r="GO10" s="31"/>
      <c r="GP10" s="31"/>
      <c r="GQ10" s="31"/>
      <c r="GR10" s="31"/>
      <c r="GS10" s="31"/>
      <c r="GT10" s="31"/>
      <c r="GU10" s="31"/>
      <c r="GV10" s="31"/>
      <c r="GW10" s="31"/>
      <c r="GX10" s="31"/>
      <c r="GY10" s="31"/>
      <c r="GZ10" s="31"/>
      <c r="HA10" s="31"/>
      <c r="HB10" s="31"/>
      <c r="HC10" s="31"/>
      <c r="HD10" s="31"/>
      <c r="HE10" s="31"/>
      <c r="HF10" s="31"/>
      <c r="HG10" s="31"/>
      <c r="HH10" s="31"/>
      <c r="HI10" s="31"/>
      <c r="HJ10" s="31"/>
      <c r="HK10" s="31"/>
      <c r="HL10" s="31"/>
      <c r="HM10" s="31"/>
      <c r="HN10" s="31"/>
      <c r="HO10" s="31"/>
      <c r="HP10" s="31"/>
      <c r="HQ10" s="31"/>
      <c r="HR10" s="31"/>
      <c r="HS10" s="31"/>
      <c r="HT10" s="31"/>
      <c r="HU10" s="31"/>
      <c r="HV10" s="31"/>
      <c r="HW10" s="31"/>
      <c r="HX10" s="31"/>
      <c r="HY10" s="31"/>
      <c r="HZ10" s="31"/>
      <c r="IA10" s="31"/>
      <c r="IB10" s="31"/>
      <c r="IC10" s="31"/>
      <c r="ID10" s="31"/>
      <c r="IE10" s="31"/>
      <c r="IF10" s="31"/>
      <c r="IG10" s="31"/>
      <c r="IH10" s="31"/>
      <c r="II10" s="31"/>
      <c r="IJ10" s="31"/>
      <c r="IK10" s="31"/>
      <c r="IL10" s="31"/>
      <c r="IM10" s="31"/>
      <c r="IN10" s="31"/>
      <c r="IO10" s="31"/>
      <c r="IP10" s="35"/>
      <c r="IQ10" s="31"/>
      <c r="IR10" s="31"/>
      <c r="IS10" s="31"/>
      <c r="IT10" s="31"/>
      <c r="IU10" s="31"/>
      <c r="IV10" s="31"/>
      <c r="IW10" s="31"/>
      <c r="IX10" s="31"/>
      <c r="IY10" s="31"/>
      <c r="IZ10" s="31"/>
      <c r="JA10" s="31"/>
      <c r="JB10" s="31"/>
      <c r="JC10" s="31"/>
      <c r="JD10" s="31"/>
      <c r="JE10" s="31"/>
      <c r="JF10" s="31"/>
      <c r="JG10" s="31"/>
      <c r="JH10" s="31"/>
      <c r="JI10" s="31"/>
      <c r="JJ10" s="31"/>
      <c r="JK10" s="31"/>
      <c r="JL10" s="31"/>
      <c r="JM10" s="31"/>
      <c r="JN10" s="31"/>
      <c r="JO10" s="31"/>
      <c r="JP10" s="31"/>
      <c r="JQ10" s="31"/>
      <c r="JR10" s="31"/>
      <c r="JS10" s="31"/>
      <c r="JT10" s="31"/>
      <c r="JU10" s="31"/>
      <c r="JV10" s="31"/>
      <c r="JW10" s="31"/>
      <c r="JX10" s="31"/>
      <c r="JY10" s="31"/>
      <c r="JZ10" s="31"/>
      <c r="KA10" s="31"/>
      <c r="KB10" s="31"/>
      <c r="KC10" s="31"/>
      <c r="KD10" s="31"/>
      <c r="KE10" s="31"/>
      <c r="KF10" s="31"/>
      <c r="KG10" s="31"/>
      <c r="KH10" s="31"/>
      <c r="KI10" s="31"/>
      <c r="KJ10" s="31"/>
      <c r="KK10" s="31"/>
      <c r="KL10" s="31"/>
      <c r="KM10" s="31"/>
      <c r="KN10" s="31"/>
      <c r="KO10" s="31"/>
      <c r="KP10" s="31"/>
      <c r="KQ10" s="31"/>
      <c r="KR10" s="31"/>
      <c r="KS10" s="31"/>
      <c r="KT10" s="31"/>
      <c r="KU10" s="31"/>
      <c r="KV10" s="31"/>
      <c r="KW10" s="31"/>
      <c r="KX10" s="31"/>
      <c r="KY10" s="31"/>
      <c r="KZ10" s="31"/>
      <c r="LA10" s="31"/>
      <c r="LB10" s="31"/>
      <c r="LC10" s="31"/>
      <c r="LD10" s="31"/>
      <c r="LE10" s="31"/>
      <c r="LF10" s="31"/>
      <c r="LG10" s="31"/>
      <c r="LH10" s="31"/>
      <c r="LI10" s="31"/>
      <c r="LJ10" s="31"/>
      <c r="LK10" s="31"/>
      <c r="LL10" s="31"/>
      <c r="LM10" s="31"/>
      <c r="LN10" s="31"/>
      <c r="LO10" s="31"/>
      <c r="LP10" s="31"/>
      <c r="LQ10" s="31"/>
      <c r="LR10" s="31"/>
      <c r="LS10" s="31"/>
      <c r="LT10" s="31"/>
      <c r="LU10" s="31"/>
      <c r="LV10" s="31"/>
      <c r="LW10" s="31"/>
      <c r="LX10" s="31"/>
      <c r="LY10" s="31"/>
      <c r="LZ10" s="31"/>
      <c r="MA10" s="31"/>
      <c r="MB10" s="31"/>
      <c r="MC10" s="31"/>
      <c r="MD10" s="31"/>
      <c r="ME10" s="31"/>
      <c r="MF10" s="31"/>
      <c r="MG10" s="31"/>
      <c r="MH10" s="31"/>
      <c r="MI10" s="31"/>
      <c r="MJ10" s="31"/>
      <c r="MK10" s="31"/>
      <c r="ML10" s="31"/>
      <c r="MM10" s="31"/>
      <c r="MN10" s="31"/>
      <c r="MO10" s="31"/>
      <c r="MP10" s="31"/>
      <c r="MQ10" s="31"/>
      <c r="MR10" s="31"/>
      <c r="MS10" s="31"/>
      <c r="MT10" s="31"/>
      <c r="MU10" s="31"/>
      <c r="MV10" s="31"/>
      <c r="MW10" s="31"/>
      <c r="MX10" s="31"/>
      <c r="MY10" s="31"/>
      <c r="MZ10" s="31"/>
      <c r="NA10" s="31"/>
      <c r="NB10" s="31"/>
      <c r="NC10" s="31"/>
      <c r="ND10" s="31"/>
      <c r="NE10" s="31"/>
      <c r="NF10" s="31"/>
      <c r="NG10" s="31"/>
      <c r="NH10" s="31"/>
      <c r="NI10" s="31"/>
      <c r="NJ10" s="31"/>
      <c r="NK10" s="31"/>
      <c r="NL10" s="31"/>
      <c r="NM10" s="31"/>
      <c r="NN10" s="31"/>
      <c r="NO10" s="31"/>
      <c r="NP10" s="31"/>
      <c r="NQ10" s="31"/>
      <c r="NR10" s="31"/>
      <c r="NS10" s="31"/>
      <c r="NT10" s="31"/>
      <c r="NU10" s="31"/>
      <c r="NV10" s="31"/>
      <c r="NW10" s="31"/>
      <c r="NX10" s="31"/>
      <c r="NY10" s="31"/>
      <c r="NZ10" s="31"/>
      <c r="OA10" s="31"/>
      <c r="OB10" s="31"/>
      <c r="OC10" s="31"/>
      <c r="OD10" s="31"/>
      <c r="OE10" s="31"/>
      <c r="OF10" s="31"/>
      <c r="OG10" s="31"/>
      <c r="OH10" s="31"/>
      <c r="OI10" s="31"/>
      <c r="OJ10" s="31"/>
      <c r="OK10" s="31"/>
      <c r="OL10" s="31"/>
      <c r="OM10" s="31"/>
      <c r="ON10" s="31"/>
      <c r="OO10" s="31"/>
      <c r="OP10" s="31"/>
      <c r="OQ10" s="31"/>
      <c r="OR10" s="31"/>
      <c r="OS10" s="31"/>
      <c r="OT10" s="31"/>
      <c r="OU10" s="31"/>
      <c r="OV10" s="31"/>
      <c r="OW10" s="31"/>
      <c r="OX10" s="31"/>
      <c r="OY10" s="31"/>
      <c r="OZ10" s="31"/>
      <c r="PA10" s="31"/>
      <c r="PB10" s="31"/>
      <c r="PC10" s="31"/>
      <c r="PD10" s="31"/>
      <c r="PE10" s="31"/>
      <c r="PF10" s="31"/>
      <c r="PG10" s="31"/>
      <c r="PH10" s="31"/>
      <c r="PI10" s="31"/>
      <c r="PJ10" s="31"/>
      <c r="PK10" s="31"/>
      <c r="PL10" s="31"/>
      <c r="PM10" s="31"/>
      <c r="PN10" s="31"/>
      <c r="PO10" s="31"/>
      <c r="PP10" s="31"/>
      <c r="PQ10" s="31"/>
      <c r="PR10" s="31"/>
      <c r="PS10" s="31"/>
      <c r="PT10" s="31"/>
      <c r="PU10" s="31"/>
      <c r="PV10" s="31"/>
      <c r="PW10" s="31"/>
      <c r="PX10" s="31"/>
      <c r="PY10" s="31"/>
      <c r="PZ10" s="31"/>
      <c r="QA10" s="31"/>
      <c r="QB10" s="31"/>
      <c r="QC10" s="31"/>
      <c r="QD10" s="31"/>
      <c r="QE10" s="31"/>
      <c r="QF10" s="31"/>
      <c r="QG10" s="31"/>
      <c r="QH10" s="31"/>
      <c r="QI10" s="31"/>
      <c r="QJ10" s="31"/>
      <c r="QK10" s="31"/>
      <c r="QL10" s="31"/>
      <c r="QM10" s="31"/>
      <c r="QN10" s="31"/>
      <c r="QO10" s="31"/>
      <c r="QP10" s="31"/>
      <c r="QQ10" s="31"/>
      <c r="QR10" s="31"/>
      <c r="QS10" s="31"/>
      <c r="QT10" s="31"/>
      <c r="QU10" s="31"/>
      <c r="QV10" s="31"/>
      <c r="QW10" s="31"/>
      <c r="QX10" s="31"/>
      <c r="QY10" s="31"/>
      <c r="QZ10" s="31"/>
      <c r="RA10" s="31"/>
      <c r="RB10" s="31"/>
      <c r="RC10" s="31"/>
      <c r="RD10" s="31"/>
      <c r="RE10" s="31"/>
      <c r="RF10" s="31"/>
      <c r="RG10" s="31"/>
      <c r="RH10" s="31"/>
      <c r="RI10" s="31"/>
      <c r="RJ10" s="31"/>
      <c r="RK10" s="31"/>
      <c r="RL10" s="31"/>
      <c r="RM10" s="31"/>
      <c r="RN10" s="31"/>
      <c r="RO10" s="31"/>
      <c r="RP10" s="31"/>
      <c r="RQ10" s="31"/>
      <c r="RR10" s="31"/>
      <c r="RS10" s="31"/>
      <c r="RT10" s="31"/>
      <c r="RU10" s="31"/>
      <c r="RV10" s="31"/>
      <c r="RW10" s="31"/>
      <c r="RX10" s="31"/>
      <c r="RY10" s="31"/>
      <c r="RZ10" s="31"/>
      <c r="SA10" s="31"/>
      <c r="SB10" s="31"/>
      <c r="SC10" s="31"/>
      <c r="SD10" s="31"/>
      <c r="SE10" s="31"/>
      <c r="SF10" s="31"/>
      <c r="SG10" s="31"/>
      <c r="SH10" s="31"/>
      <c r="SI10" s="31"/>
      <c r="SJ10" s="31"/>
      <c r="SK10" s="31"/>
      <c r="SL10" s="31"/>
      <c r="SM10" s="31"/>
      <c r="SN10" s="31"/>
      <c r="SO10" s="31"/>
      <c r="SP10" s="31"/>
      <c r="SQ10" s="31"/>
      <c r="SR10" s="31"/>
      <c r="SS10" s="31"/>
      <c r="ST10" s="31"/>
      <c r="SU10" s="31"/>
      <c r="SV10" s="31"/>
      <c r="SW10" s="31"/>
      <c r="SX10" s="31"/>
      <c r="SY10" s="31"/>
      <c r="SZ10" s="31"/>
      <c r="TA10" s="31"/>
      <c r="TB10" s="31"/>
      <c r="TC10" s="31"/>
      <c r="TD10" s="31"/>
      <c r="TE10" s="31"/>
      <c r="TF10" s="31"/>
      <c r="TG10" s="31"/>
      <c r="TH10" s="31"/>
      <c r="TI10" s="31"/>
      <c r="TJ10" s="31"/>
      <c r="TK10" s="31"/>
      <c r="TL10" s="31"/>
      <c r="TM10" s="31"/>
      <c r="TN10" s="31"/>
      <c r="TO10" s="31"/>
      <c r="TP10" s="31"/>
      <c r="TQ10" s="31"/>
      <c r="TR10" s="31"/>
      <c r="TS10" s="31"/>
      <c r="TT10" s="31"/>
      <c r="TU10" s="31"/>
      <c r="TV10" s="31"/>
      <c r="TW10" s="31"/>
      <c r="TX10" s="31"/>
      <c r="TY10" s="31"/>
      <c r="TZ10" s="31"/>
      <c r="UA10" s="31"/>
      <c r="UB10" s="31"/>
      <c r="UC10" s="31"/>
      <c r="UD10" s="31"/>
      <c r="UE10" s="31"/>
      <c r="UF10" s="31"/>
      <c r="UG10" s="31"/>
      <c r="UH10" s="31"/>
      <c r="UI10" s="31"/>
      <c r="UJ10" s="31"/>
      <c r="UK10" s="31"/>
      <c r="UL10" s="31"/>
      <c r="UM10" s="31"/>
      <c r="UN10" s="31"/>
      <c r="UO10" s="31"/>
      <c r="UP10" s="31"/>
      <c r="UQ10" s="31"/>
      <c r="UR10" s="31"/>
      <c r="US10" s="31"/>
      <c r="UT10" s="31"/>
      <c r="UU10" s="31"/>
      <c r="UV10" s="31"/>
      <c r="UW10" s="31"/>
      <c r="UX10" s="31"/>
      <c r="UY10" s="31"/>
      <c r="UZ10" s="31"/>
      <c r="VA10" s="31"/>
      <c r="VB10" s="31"/>
      <c r="VC10" s="31"/>
      <c r="VD10" s="31"/>
      <c r="VE10" s="31"/>
      <c r="VF10" s="31"/>
      <c r="VG10" s="31"/>
      <c r="VH10" s="31"/>
      <c r="VI10" s="31"/>
      <c r="VJ10" s="31"/>
      <c r="VK10" s="31"/>
      <c r="VL10" s="31"/>
      <c r="VM10" s="31"/>
      <c r="VN10" s="31"/>
      <c r="VO10" s="31"/>
      <c r="VP10" s="31"/>
      <c r="VQ10" s="31"/>
      <c r="VR10" s="31"/>
      <c r="VS10" s="31"/>
      <c r="VT10" s="31"/>
      <c r="VU10" s="31"/>
      <c r="VV10" s="31"/>
      <c r="VW10" s="31"/>
      <c r="VX10" s="31"/>
      <c r="VY10" s="31"/>
      <c r="VZ10" s="31"/>
      <c r="WA10" s="31"/>
      <c r="WB10" s="31"/>
      <c r="WC10" s="31"/>
      <c r="WD10" s="31"/>
      <c r="WE10" s="31"/>
      <c r="WF10" s="31"/>
      <c r="WG10" s="31"/>
      <c r="WH10" s="31"/>
      <c r="WI10" s="31"/>
      <c r="WJ10" s="31"/>
      <c r="WK10" s="31"/>
      <c r="WL10" s="31"/>
      <c r="WM10" s="31"/>
      <c r="WN10" s="31"/>
      <c r="WO10" s="31"/>
      <c r="WP10" s="31"/>
      <c r="WQ10" s="31"/>
      <c r="WR10" s="31"/>
      <c r="WS10" s="31"/>
      <c r="WT10" s="31"/>
      <c r="WU10" s="31"/>
      <c r="WV10" s="31"/>
      <c r="WW10" s="31"/>
      <c r="WX10" s="31"/>
      <c r="WY10" s="31"/>
      <c r="WZ10" s="31"/>
      <c r="XA10" s="31"/>
      <c r="XB10" s="31"/>
      <c r="XC10" s="31"/>
      <c r="XD10" s="31"/>
      <c r="XE10" s="31"/>
      <c r="XF10" s="31"/>
      <c r="XG10" s="31"/>
      <c r="XH10" s="31"/>
      <c r="XI10" s="31"/>
      <c r="XJ10" s="31"/>
      <c r="XK10" s="31"/>
      <c r="XL10" s="31"/>
      <c r="XM10" s="31"/>
      <c r="XN10" s="31"/>
      <c r="XO10" s="31"/>
      <c r="XP10" s="31"/>
      <c r="XQ10" s="31"/>
      <c r="XR10" s="31"/>
      <c r="XS10" s="31"/>
      <c r="XT10" s="31"/>
      <c r="XU10" s="31"/>
      <c r="XV10" s="31"/>
      <c r="XW10" s="31"/>
      <c r="XX10" s="31"/>
      <c r="XY10" s="31"/>
      <c r="XZ10" s="31"/>
      <c r="YA10" s="31"/>
      <c r="YB10" s="31"/>
      <c r="YC10" s="31"/>
      <c r="YD10" s="31"/>
      <c r="YE10" s="31"/>
      <c r="YF10" s="31"/>
      <c r="YG10" s="31"/>
      <c r="YH10" s="31"/>
      <c r="YI10" s="31"/>
      <c r="YJ10" s="31"/>
      <c r="YK10" s="31"/>
      <c r="YL10" s="31"/>
      <c r="YM10" s="31"/>
      <c r="YN10" s="31"/>
      <c r="YO10" s="31"/>
      <c r="YP10" s="31"/>
      <c r="YQ10" s="31"/>
      <c r="YR10" s="31"/>
      <c r="YS10" s="31"/>
      <c r="YT10" s="31"/>
      <c r="YU10" s="31"/>
      <c r="YV10" s="31"/>
      <c r="YW10" s="31"/>
      <c r="YX10" s="31"/>
      <c r="YY10" s="31"/>
      <c r="YZ10" s="31"/>
      <c r="ZA10" s="31"/>
      <c r="ZB10" s="31"/>
      <c r="ZC10" s="31"/>
      <c r="ZD10" s="31"/>
      <c r="ZE10" s="31"/>
      <c r="ZF10" s="31"/>
      <c r="ZG10" s="31"/>
      <c r="ZH10" s="31"/>
      <c r="ZI10" s="31"/>
      <c r="ZJ10" s="31"/>
      <c r="ZK10" s="31"/>
      <c r="ZL10" s="31"/>
      <c r="ZM10" s="31"/>
      <c r="ZN10" s="31"/>
      <c r="ZO10" s="31"/>
      <c r="ZP10" s="31"/>
      <c r="ZQ10" s="31"/>
      <c r="ZR10" s="31"/>
      <c r="ZS10" s="31"/>
      <c r="ZT10" s="31"/>
      <c r="ZU10" s="31"/>
      <c r="ZV10" s="31"/>
      <c r="ZW10" s="31"/>
      <c r="ZX10" s="31"/>
      <c r="ZY10" s="31"/>
      <c r="ZZ10" s="31"/>
      <c r="AAA10" s="31"/>
      <c r="AAB10" s="31"/>
      <c r="AAC10" s="31"/>
      <c r="AAD10" s="31"/>
      <c r="AAE10" s="31"/>
      <c r="AAF10" s="31"/>
      <c r="AAG10" s="31"/>
      <c r="AAH10" s="31"/>
      <c r="AAI10" s="31"/>
      <c r="AAJ10" s="31"/>
      <c r="AAK10" s="31"/>
      <c r="AAL10" s="31"/>
      <c r="AAM10" s="31"/>
      <c r="AAN10" s="31"/>
      <c r="AAO10" s="31"/>
      <c r="AAP10" s="31"/>
      <c r="AAQ10" s="31"/>
      <c r="AAR10" s="31"/>
      <c r="AAS10" s="31"/>
      <c r="AAT10" s="31"/>
      <c r="AAU10" s="31"/>
      <c r="AAV10" s="31"/>
      <c r="AAW10" s="31"/>
      <c r="AAX10" s="31"/>
      <c r="AAY10" s="31"/>
      <c r="AAZ10" s="31"/>
      <c r="ABA10" s="31"/>
      <c r="ABB10" s="31"/>
      <c r="ABC10" s="31"/>
      <c r="ABD10" s="31"/>
      <c r="ABE10" s="31"/>
      <c r="ABF10" s="31"/>
      <c r="ABG10" s="31"/>
      <c r="ABH10" s="31"/>
      <c r="ABI10" s="31"/>
      <c r="ABJ10" s="31"/>
      <c r="ABK10" s="31"/>
      <c r="ABL10" s="31"/>
      <c r="ABM10" s="31"/>
      <c r="ABN10" s="31"/>
      <c r="ABO10" s="31"/>
      <c r="ABP10" s="31"/>
      <c r="ABQ10" s="31"/>
      <c r="ABR10" s="31"/>
      <c r="ABS10" s="31"/>
      <c r="ABT10" s="31"/>
      <c r="ABU10" s="31"/>
      <c r="ABV10" s="31"/>
      <c r="ABW10" s="31"/>
      <c r="ABX10" s="31"/>
      <c r="ABY10" s="31"/>
      <c r="ABZ10" s="31"/>
      <c r="ACA10" s="31"/>
      <c r="ACB10" s="31"/>
      <c r="ACC10" s="31"/>
      <c r="ACD10" s="31"/>
      <c r="ACE10" s="31"/>
      <c r="ACF10" s="31"/>
      <c r="ACG10" s="31"/>
      <c r="ACH10" s="31"/>
      <c r="ACI10" s="31"/>
      <c r="ACJ10" s="31"/>
      <c r="ACK10" s="31"/>
      <c r="ACL10" s="31"/>
      <c r="ACM10" s="31"/>
      <c r="ACN10" s="31"/>
      <c r="ACO10" s="31"/>
      <c r="ACP10" s="31"/>
      <c r="ACQ10" s="31"/>
      <c r="ACR10" s="31"/>
      <c r="ACS10" s="31"/>
      <c r="ACT10" s="31"/>
      <c r="ACU10" s="31"/>
      <c r="ACV10" s="31"/>
      <c r="ACW10" s="31"/>
      <c r="ACX10" s="31"/>
      <c r="ACY10" s="31"/>
      <c r="ACZ10" s="31"/>
      <c r="ADA10" s="31"/>
      <c r="ADB10" s="31"/>
      <c r="ADC10" s="31"/>
      <c r="ADD10" s="31"/>
      <c r="ADE10" s="31"/>
      <c r="ADF10" s="31"/>
      <c r="ADG10" s="31"/>
      <c r="ADH10" s="31"/>
      <c r="ADI10" s="31"/>
      <c r="ADJ10" s="31"/>
      <c r="ADK10" s="31"/>
      <c r="ADL10" s="31"/>
      <c r="ADM10" s="31"/>
      <c r="ADN10" s="31"/>
      <c r="ADO10" s="31"/>
      <c r="ADP10" s="31"/>
      <c r="ADQ10" s="31"/>
      <c r="ADR10" s="31"/>
      <c r="ADS10" s="31"/>
      <c r="ADT10" s="31"/>
      <c r="ADU10" s="31"/>
      <c r="ADV10" s="31"/>
      <c r="ADW10" s="31"/>
      <c r="ADX10" s="31"/>
      <c r="ADY10" s="31"/>
      <c r="ADZ10" s="31"/>
      <c r="AEA10" s="31"/>
      <c r="AEB10" s="31"/>
      <c r="AEC10" s="31"/>
      <c r="AED10" s="31"/>
      <c r="AEE10" s="31"/>
      <c r="AEF10" s="31"/>
      <c r="AEG10" s="31"/>
      <c r="AEH10" s="31"/>
      <c r="AEI10" s="31"/>
      <c r="AEJ10" s="31"/>
      <c r="AEK10" s="31"/>
      <c r="AEL10" s="31"/>
      <c r="AEM10" s="31"/>
      <c r="AEN10" s="31"/>
      <c r="AEO10" s="31"/>
      <c r="AEP10" s="31"/>
      <c r="AEQ10" s="31"/>
      <c r="AER10" s="31"/>
      <c r="AES10" s="31"/>
      <c r="AET10" s="31"/>
      <c r="AEU10" s="31"/>
      <c r="AEV10" s="31"/>
      <c r="AEW10" s="31"/>
      <c r="AEX10" s="31"/>
      <c r="AEY10" s="31"/>
      <c r="AEZ10" s="31"/>
      <c r="AFA10" s="31"/>
      <c r="AFB10" s="31"/>
      <c r="AFC10" s="31"/>
      <c r="AFD10" s="31"/>
      <c r="AFE10" s="31"/>
      <c r="AFF10" s="31"/>
      <c r="AFG10" s="31"/>
      <c r="AFH10" s="31"/>
      <c r="AFI10" s="31"/>
      <c r="AFJ10" s="31"/>
      <c r="AFK10" s="31"/>
      <c r="AFL10" s="31"/>
      <c r="AFM10" s="31"/>
      <c r="AFN10" s="31"/>
      <c r="AFO10" s="31"/>
      <c r="AFP10" s="31"/>
      <c r="AFQ10" s="31"/>
      <c r="AFR10" s="31"/>
      <c r="AFS10" s="31"/>
      <c r="AFT10" s="31"/>
      <c r="AFU10" s="31"/>
      <c r="AFV10" s="31"/>
      <c r="AFW10" s="31"/>
      <c r="AFX10" s="31"/>
      <c r="AFY10" s="31"/>
      <c r="AFZ10" s="31"/>
      <c r="AGA10" s="31"/>
      <c r="AGB10" s="31"/>
      <c r="AGC10" s="31"/>
      <c r="AGD10" s="31"/>
      <c r="AGE10" s="31"/>
      <c r="AGF10" s="31"/>
      <c r="AGG10" s="31"/>
      <c r="AGH10" s="31"/>
      <c r="AGI10" s="31"/>
      <c r="AGJ10" s="31"/>
      <c r="AGK10" s="31"/>
      <c r="AGL10" s="31"/>
      <c r="AGM10" s="31"/>
      <c r="AGN10" s="31"/>
      <c r="AGO10" s="31"/>
      <c r="AGP10" s="31"/>
      <c r="AGQ10" s="31"/>
      <c r="AGR10" s="31"/>
      <c r="AGS10" s="31"/>
      <c r="AGT10" s="31"/>
      <c r="AGU10" s="31"/>
      <c r="AGV10" s="31"/>
      <c r="AGW10" s="31"/>
      <c r="AGX10" s="31"/>
      <c r="AGY10" s="31"/>
      <c r="AGZ10" s="31"/>
      <c r="AHA10" s="31"/>
      <c r="AHB10" s="31"/>
      <c r="AHC10" s="31"/>
      <c r="AHD10" s="31"/>
      <c r="AHE10" s="31"/>
      <c r="AHF10" s="31"/>
      <c r="AHG10" s="31"/>
      <c r="AHH10" s="31"/>
      <c r="AHI10" s="31"/>
      <c r="AHJ10" s="31"/>
      <c r="AHK10" s="31"/>
      <c r="AHL10" s="31"/>
      <c r="AHM10" s="31"/>
      <c r="AHN10" s="31"/>
      <c r="AHO10" s="31"/>
      <c r="AHP10" s="31"/>
      <c r="AHQ10" s="31"/>
      <c r="AHR10" s="31"/>
      <c r="AHS10" s="31"/>
      <c r="AHT10" s="31"/>
      <c r="AHU10" s="31"/>
      <c r="AHV10" s="31"/>
      <c r="AHW10" s="31"/>
      <c r="AHX10" s="31"/>
      <c r="AHY10" s="31"/>
      <c r="AHZ10" s="31"/>
      <c r="AIA10" s="31"/>
      <c r="AIB10" s="31"/>
      <c r="AIC10" s="31"/>
      <c r="AID10" s="31"/>
      <c r="AIE10" s="31"/>
      <c r="AIF10" s="31"/>
      <c r="AIG10" s="31"/>
      <c r="AIH10" s="31"/>
      <c r="AII10" s="31"/>
      <c r="AIJ10" s="31"/>
      <c r="AIK10" s="31"/>
      <c r="AIL10" s="31"/>
      <c r="AIM10" s="31"/>
      <c r="AIN10" s="31"/>
      <c r="AIO10" s="31"/>
      <c r="AIP10" s="31"/>
      <c r="AIQ10" s="31"/>
      <c r="AIR10" s="31"/>
      <c r="AIS10" s="31"/>
      <c r="AIT10" s="31"/>
      <c r="AIU10" s="31"/>
      <c r="AIV10" s="31"/>
      <c r="AIW10" s="31"/>
      <c r="AIX10" s="31"/>
      <c r="AIY10" s="31"/>
      <c r="AIZ10" s="31"/>
      <c r="AJA10" s="31"/>
      <c r="AJB10" s="31"/>
      <c r="AJC10" s="31"/>
      <c r="AJD10" s="31"/>
      <c r="AJE10" s="31"/>
      <c r="AJF10" s="31"/>
      <c r="AJG10" s="31"/>
      <c r="AJH10" s="31"/>
      <c r="AJI10" s="31"/>
      <c r="AJJ10" s="31"/>
      <c r="AJK10" s="31"/>
      <c r="AJL10" s="31"/>
      <c r="AJM10" s="31"/>
      <c r="AJN10" s="31"/>
      <c r="AJO10" s="31"/>
      <c r="AJP10" s="31"/>
      <c r="AJQ10" s="31"/>
      <c r="AJR10" s="31"/>
      <c r="AJS10" s="31"/>
      <c r="AJT10" s="31"/>
      <c r="AJU10" s="31"/>
      <c r="AJV10" s="31"/>
      <c r="AJW10" s="31"/>
      <c r="AJX10" s="31"/>
      <c r="AJY10" s="31"/>
      <c r="AJZ10" s="31"/>
      <c r="AKA10" s="31"/>
      <c r="AKB10" s="31"/>
      <c r="AKC10" s="31"/>
      <c r="AKD10" s="31"/>
      <c r="AKE10" s="31"/>
      <c r="AKF10" s="31"/>
      <c r="AKG10" s="31"/>
      <c r="AKH10" s="31"/>
      <c r="AKI10" s="31"/>
      <c r="AKJ10" s="31"/>
      <c r="AKK10" s="31"/>
      <c r="AKL10" s="31"/>
      <c r="AKM10" s="31"/>
      <c r="AKN10" s="31"/>
      <c r="AKO10" s="31"/>
      <c r="AKP10" s="31"/>
      <c r="AKQ10" s="31"/>
      <c r="AKR10" s="31"/>
      <c r="AKS10" s="31"/>
      <c r="AKT10" s="31"/>
      <c r="AKU10" s="31"/>
      <c r="AKV10" s="31"/>
      <c r="AKW10" s="31"/>
      <c r="AKX10" s="31"/>
      <c r="AKY10" s="31"/>
      <c r="AKZ10" s="31"/>
      <c r="ALA10" s="31"/>
      <c r="ALB10" s="31"/>
      <c r="ALC10" s="31"/>
      <c r="ALD10" s="31"/>
      <c r="ALE10" s="31"/>
      <c r="ALF10" s="31"/>
      <c r="ALG10" s="31"/>
      <c r="ALH10" s="31"/>
      <c r="ALI10" s="31"/>
      <c r="ALJ10" s="31"/>
      <c r="ALK10" s="31"/>
      <c r="ALL10" s="31"/>
      <c r="ALM10" s="31"/>
      <c r="ALN10" s="31"/>
      <c r="ALO10" s="31"/>
      <c r="ALP10" s="31"/>
      <c r="ALQ10" s="31"/>
      <c r="ALR10" s="31"/>
      <c r="ALS10" s="31"/>
      <c r="ALT10" s="31"/>
      <c r="ALU10" s="31"/>
      <c r="ALV10" s="31"/>
      <c r="ALW10" s="31"/>
      <c r="ALX10" s="31"/>
      <c r="ALY10" s="31"/>
      <c r="ALZ10" s="31"/>
      <c r="AMA10" s="31"/>
      <c r="AMB10" s="31"/>
      <c r="AMC10" s="31"/>
      <c r="AMD10" s="31"/>
      <c r="AME10" s="31"/>
    </row>
    <row r="11" customFormat="false" ht="16.5" hidden="false" customHeight="true" outlineLevel="0" collapsed="false">
      <c r="B11" s="24" t="str">
        <f aca="false">'Base Caxias do Sul'!B7</f>
        <v>GEX/APS CAXIAS DO SUL</v>
      </c>
      <c r="C11" s="26" t="n">
        <f aca="false">'Base Caxias do Sul'!AO7</f>
        <v>1611.69388865449</v>
      </c>
      <c r="D11" s="26" t="n">
        <f aca="false">C11*3</f>
        <v>4835.08166596348</v>
      </c>
      <c r="E11" s="26" t="n">
        <f aca="false">C11+D11</f>
        <v>6446.77555461798</v>
      </c>
      <c r="F11" s="26" t="n">
        <f aca="false">C11*12</f>
        <v>19340.3266638539</v>
      </c>
      <c r="G11" s="26" t="n">
        <f aca="false">F11*3</f>
        <v>58020.9799915618</v>
      </c>
      <c r="H11" s="26" t="n">
        <f aca="false">F11+G11</f>
        <v>77361.3066554157</v>
      </c>
      <c r="I11" s="38" t="n">
        <f aca="false">F11/$E$7</f>
        <v>0.0511717760203913</v>
      </c>
    </row>
    <row r="12" customFormat="false" ht="16.5" hidden="false" customHeight="true" outlineLevel="0" collapsed="false">
      <c r="B12" s="24" t="str">
        <f aca="false">'Base Caxias do Sul'!B8</f>
        <v>CEDOCPREV CAXIAS DO SUL</v>
      </c>
      <c r="C12" s="26" t="n">
        <f aca="false">'Base Caxias do Sul'!AO8</f>
        <v>701.803923577936</v>
      </c>
      <c r="D12" s="26" t="n">
        <f aca="false">C12*3</f>
        <v>2105.41177073381</v>
      </c>
      <c r="E12" s="26" t="n">
        <f aca="false">C12+D12</f>
        <v>2807.21569431175</v>
      </c>
      <c r="F12" s="26" t="n">
        <f aca="false">C12*12</f>
        <v>8421.64708293524</v>
      </c>
      <c r="G12" s="26" t="n">
        <f aca="false">F12*3</f>
        <v>25264.9412488057</v>
      </c>
      <c r="H12" s="26" t="n">
        <f aca="false">F12+G12</f>
        <v>33686.5883317409</v>
      </c>
      <c r="I12" s="38" t="n">
        <f aca="false">F12/$E$7</f>
        <v>0.0222824901430527</v>
      </c>
    </row>
    <row r="13" customFormat="false" ht="16.5" hidden="false" customHeight="true" outlineLevel="0" collapsed="false">
      <c r="B13" s="24" t="str">
        <f aca="false">'Base Caxias do Sul'!B9</f>
        <v>ARQUIVO RUA MARQUÊS DO HERVAL</v>
      </c>
      <c r="C13" s="26" t="n">
        <f aca="false">'Base Caxias do Sul'!AO9</f>
        <v>724.218663879017</v>
      </c>
      <c r="D13" s="26" t="n">
        <f aca="false">C13*3</f>
        <v>2172.65599163705</v>
      </c>
      <c r="E13" s="26" t="n">
        <f aca="false">C13+D13</f>
        <v>2896.87465551607</v>
      </c>
      <c r="F13" s="26" t="n">
        <f aca="false">C13*12</f>
        <v>8690.62396654821</v>
      </c>
      <c r="G13" s="26" t="n">
        <f aca="false">F13*3</f>
        <v>26071.8718996446</v>
      </c>
      <c r="H13" s="26" t="n">
        <f aca="false">F13+G13</f>
        <v>34762.4958661928</v>
      </c>
      <c r="I13" s="38" t="n">
        <f aca="false">F13/$E$7</f>
        <v>0.0229941650326309</v>
      </c>
    </row>
    <row r="14" customFormat="false" ht="16.5" hidden="false" customHeight="true" outlineLevel="0" collapsed="false">
      <c r="B14" s="24" t="str">
        <f aca="false">'Base Caxias do Sul'!B10</f>
        <v>APS FLORES DA CUNHA</v>
      </c>
      <c r="C14" s="26" t="n">
        <f aca="false">'Base Caxias do Sul'!AO10</f>
        <v>708.222761421477</v>
      </c>
      <c r="D14" s="26" t="n">
        <f aca="false">C14*3</f>
        <v>2124.66828426443</v>
      </c>
      <c r="E14" s="26" t="n">
        <f aca="false">C14+D14</f>
        <v>2832.89104568591</v>
      </c>
      <c r="F14" s="26" t="n">
        <f aca="false">C14*12</f>
        <v>8498.67313705773</v>
      </c>
      <c r="G14" s="26" t="n">
        <f aca="false">F14*3</f>
        <v>25496.0194111732</v>
      </c>
      <c r="H14" s="26" t="n">
        <f aca="false">F14+G14</f>
        <v>33994.6925482309</v>
      </c>
      <c r="I14" s="38" t="n">
        <f aca="false">F14/$E$7</f>
        <v>0.022486290216226</v>
      </c>
    </row>
    <row r="15" s="31" customFormat="true" ht="16.5" hidden="false" customHeight="true" outlineLevel="0" collapsed="false">
      <c r="B15" s="24" t="str">
        <f aca="false">'Base Caxias do Sul'!B11</f>
        <v>APS CARLOS BARBOSA</v>
      </c>
      <c r="C15" s="26" t="n">
        <f aca="false">'Base Caxias do Sul'!AO11</f>
        <v>808.018057882092</v>
      </c>
      <c r="D15" s="26" t="n">
        <f aca="false">C15*3</f>
        <v>2424.05417364628</v>
      </c>
      <c r="E15" s="26" t="n">
        <f aca="false">C15+D15</f>
        <v>3232.07223152837</v>
      </c>
      <c r="F15" s="26" t="n">
        <f aca="false">C15*12</f>
        <v>9696.21669458511</v>
      </c>
      <c r="G15" s="26" t="n">
        <f aca="false">F15*3</f>
        <v>29088.6500837553</v>
      </c>
      <c r="H15" s="26" t="n">
        <f aca="false">F15+G15</f>
        <v>38784.8667783404</v>
      </c>
      <c r="I15" s="38" t="n">
        <f aca="false">F15/$E$7</f>
        <v>0.0256548215324516</v>
      </c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</row>
    <row r="16" s="31" customFormat="true" ht="16.5" hidden="false" customHeight="true" outlineLevel="0" collapsed="false">
      <c r="B16" s="24" t="str">
        <f aca="false">'Base Caxias do Sul'!B12</f>
        <v>APS GARIBALDI</v>
      </c>
      <c r="C16" s="26" t="n">
        <f aca="false">'Base Caxias do Sul'!AO12</f>
        <v>790.003350002055</v>
      </c>
      <c r="D16" s="26" t="n">
        <f aca="false">C16*3</f>
        <v>2370.01005000616</v>
      </c>
      <c r="E16" s="26" t="n">
        <f aca="false">C16+D16</f>
        <v>3160.01340000822</v>
      </c>
      <c r="F16" s="26" t="n">
        <f aca="false">C16*12</f>
        <v>9480.04020002466</v>
      </c>
      <c r="G16" s="26" t="n">
        <f aca="false">F16*3</f>
        <v>28440.120600074</v>
      </c>
      <c r="H16" s="26" t="n">
        <f aca="false">F16+G16</f>
        <v>37920.1608000986</v>
      </c>
      <c r="I16" s="38" t="n">
        <f aca="false">F16/$E$7</f>
        <v>0.0250828490237765</v>
      </c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</row>
    <row r="17" customFormat="false" ht="16.5" hidden="false" customHeight="true" outlineLevel="0" collapsed="false">
      <c r="B17" s="24" t="str">
        <f aca="false">'Base Caxias do Sul'!B13</f>
        <v>APS BENTO GONÇALVES</v>
      </c>
      <c r="C17" s="26" t="n">
        <f aca="false">'Base Caxias do Sul'!AO13</f>
        <v>1004.45572965971</v>
      </c>
      <c r="D17" s="26" t="n">
        <f aca="false">C17*3</f>
        <v>3013.36718897914</v>
      </c>
      <c r="E17" s="26" t="n">
        <f aca="false">C17+D17</f>
        <v>4017.82291863886</v>
      </c>
      <c r="F17" s="26" t="n">
        <f aca="false">C17*12</f>
        <v>12053.4687559166</v>
      </c>
      <c r="G17" s="26" t="n">
        <f aca="false">F17*3</f>
        <v>36160.4062677497</v>
      </c>
      <c r="H17" s="26" t="n">
        <f aca="false">F17+G17</f>
        <v>48213.8750236663</v>
      </c>
      <c r="I17" s="38" t="n">
        <f aca="false">F17/$E$7</f>
        <v>0.0318917779501269</v>
      </c>
    </row>
    <row r="18" customFormat="false" ht="16.5" hidden="false" customHeight="true" outlineLevel="0" collapsed="false">
      <c r="B18" s="24" t="str">
        <f aca="false">'Base Caxias do Sul'!B14</f>
        <v>APS FARROUPILHA</v>
      </c>
      <c r="C18" s="26" t="n">
        <f aca="false">'Base Caxias do Sul'!AO14</f>
        <v>772.678565281577</v>
      </c>
      <c r="D18" s="26" t="n">
        <f aca="false">C18*3</f>
        <v>2318.03569584473</v>
      </c>
      <c r="E18" s="26" t="n">
        <f aca="false">C18+D18</f>
        <v>3090.71426112631</v>
      </c>
      <c r="F18" s="26" t="n">
        <f aca="false">C18*12</f>
        <v>9272.14278337893</v>
      </c>
      <c r="G18" s="26" t="n">
        <f aca="false">F18*3</f>
        <v>27816.4283501368</v>
      </c>
      <c r="H18" s="26" t="n">
        <f aca="false">F18+G18</f>
        <v>37088.5711335157</v>
      </c>
      <c r="I18" s="38" t="n">
        <f aca="false">F18/$E$7</f>
        <v>0.0245327817873375</v>
      </c>
    </row>
    <row r="19" customFormat="false" ht="16.5" hidden="false" customHeight="true" outlineLevel="0" collapsed="false">
      <c r="B19" s="24" t="str">
        <f aca="false">'Base Caxias do Sul'!B15</f>
        <v>APS CANELA</v>
      </c>
      <c r="C19" s="26" t="n">
        <f aca="false">'Base Caxias do Sul'!AO15</f>
        <v>1423.15375660109</v>
      </c>
      <c r="D19" s="26" t="n">
        <f aca="false">C19*3</f>
        <v>4269.46126980327</v>
      </c>
      <c r="E19" s="26" t="n">
        <f aca="false">C19+D19</f>
        <v>5692.61502640436</v>
      </c>
      <c r="F19" s="26" t="n">
        <f aca="false">C19*12</f>
        <v>17077.8450792131</v>
      </c>
      <c r="G19" s="26" t="n">
        <f aca="false">F19*3</f>
        <v>51233.5352376393</v>
      </c>
      <c r="H19" s="26" t="n">
        <f aca="false">F19+G19</f>
        <v>68311.3803168524</v>
      </c>
      <c r="I19" s="38" t="n">
        <f aca="false">F19/$E$7</f>
        <v>0.0451855689148061</v>
      </c>
    </row>
    <row r="20" customFormat="false" ht="16.5" hidden="false" customHeight="true" outlineLevel="0" collapsed="false">
      <c r="B20" s="24" t="str">
        <f aca="false">'Base Caxias do Sul'!B16</f>
        <v>APS TORRES</v>
      </c>
      <c r="C20" s="26" t="n">
        <f aca="false">'Base Caxias do Sul'!AO16</f>
        <v>1296.93137917404</v>
      </c>
      <c r="D20" s="26" t="n">
        <f aca="false">C20*3</f>
        <v>3890.79413752211</v>
      </c>
      <c r="E20" s="26" t="n">
        <f aca="false">C20+D20</f>
        <v>5187.72551669614</v>
      </c>
      <c r="F20" s="26" t="n">
        <f aca="false">C20*12</f>
        <v>15563.1765500884</v>
      </c>
      <c r="G20" s="26" t="n">
        <f aca="false">F20*3</f>
        <v>46689.5296502653</v>
      </c>
      <c r="H20" s="26" t="n">
        <f aca="false">F20+G20</f>
        <v>62252.7062003537</v>
      </c>
      <c r="I20" s="38" t="n">
        <f aca="false">F20/$E$7</f>
        <v>0.0411779696604273</v>
      </c>
    </row>
    <row r="21" customFormat="false" ht="22.5" hidden="false" customHeight="true" outlineLevel="0" collapsed="false">
      <c r="B21" s="39" t="str">
        <f aca="false">"Total Base "&amp;B5</f>
        <v>Total Base CAXIAS DO SUL</v>
      </c>
      <c r="C21" s="39" t="n">
        <f aca="false">SUM(C11:C20)</f>
        <v>9841.18007613349</v>
      </c>
      <c r="D21" s="39" t="n">
        <f aca="false">SUM(D11:D20)</f>
        <v>29523.5402284005</v>
      </c>
      <c r="E21" s="39" t="n">
        <f aca="false">SUM(E11:E20)</f>
        <v>39364.720304534</v>
      </c>
      <c r="F21" s="39" t="n">
        <f aca="false">SUM(F11:F20)</f>
        <v>118094.160913602</v>
      </c>
      <c r="G21" s="39" t="n">
        <f aca="false">SUM(G11:G20)</f>
        <v>354282.482740806</v>
      </c>
      <c r="H21" s="39" t="n">
        <f aca="false">SUM(H11:H20)</f>
        <v>472376.643654407</v>
      </c>
      <c r="I21" s="40" t="n">
        <f aca="false">SUM(I11:I20)</f>
        <v>0.312460490281227</v>
      </c>
    </row>
    <row r="22" customFormat="false" ht="22.5" hidden="false" customHeight="true" outlineLevel="0" collapsed="false">
      <c r="B22" s="41"/>
      <c r="C22" s="41"/>
      <c r="D22" s="41"/>
      <c r="E22" s="41"/>
      <c r="F22" s="41"/>
      <c r="G22" s="41"/>
      <c r="H22" s="41"/>
      <c r="I22" s="42"/>
    </row>
    <row r="23" customFormat="false" ht="27.75" hidden="false" customHeight="true" outlineLevel="0" collapsed="false">
      <c r="A23" s="31"/>
      <c r="B23" s="32" t="str">
        <f aca="false">"BASE "&amp;B6</f>
        <v>BASE NOVO HAMBURGO</v>
      </c>
      <c r="C23" s="33" t="s">
        <v>23</v>
      </c>
      <c r="D23" s="33"/>
      <c r="E23" s="33"/>
      <c r="F23" s="33" t="s">
        <v>24</v>
      </c>
      <c r="G23" s="33"/>
      <c r="H23" s="33"/>
      <c r="I23" s="34" t="s">
        <v>25</v>
      </c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31"/>
      <c r="CD23" s="31"/>
      <c r="CE23" s="31"/>
      <c r="CF23" s="31"/>
      <c r="CG23" s="31"/>
      <c r="CH23" s="31"/>
      <c r="CI23" s="31"/>
      <c r="CJ23" s="31"/>
      <c r="CK23" s="31"/>
      <c r="CL23" s="31"/>
      <c r="CM23" s="31"/>
      <c r="CN23" s="31"/>
      <c r="CO23" s="31"/>
      <c r="CP23" s="31"/>
      <c r="CQ23" s="31"/>
      <c r="CR23" s="31"/>
      <c r="CS23" s="31"/>
      <c r="CT23" s="31"/>
      <c r="CU23" s="31"/>
      <c r="CV23" s="31"/>
      <c r="CW23" s="31"/>
      <c r="CX23" s="31"/>
      <c r="CY23" s="31"/>
      <c r="CZ23" s="31"/>
      <c r="DA23" s="31"/>
      <c r="DB23" s="31"/>
      <c r="DC23" s="31"/>
      <c r="DD23" s="31"/>
      <c r="DE23" s="31"/>
      <c r="DF23" s="31"/>
      <c r="DG23" s="31"/>
      <c r="DH23" s="31"/>
      <c r="DI23" s="31"/>
      <c r="DJ23" s="31"/>
      <c r="DK23" s="31"/>
      <c r="DL23" s="31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1"/>
      <c r="DY23" s="31"/>
      <c r="DZ23" s="31"/>
      <c r="EA23" s="31"/>
      <c r="EB23" s="31"/>
      <c r="EC23" s="31"/>
      <c r="ED23" s="31"/>
      <c r="EE23" s="31"/>
      <c r="EF23" s="31"/>
      <c r="EG23" s="31"/>
      <c r="EH23" s="31"/>
      <c r="EI23" s="31"/>
      <c r="EJ23" s="31"/>
      <c r="EK23" s="31"/>
      <c r="EL23" s="31"/>
      <c r="EM23" s="31"/>
      <c r="EN23" s="31"/>
      <c r="EO23" s="31"/>
      <c r="EP23" s="31"/>
      <c r="EQ23" s="31"/>
      <c r="ER23" s="31"/>
      <c r="ES23" s="31"/>
      <c r="ET23" s="31"/>
      <c r="EU23" s="31"/>
      <c r="EV23" s="31"/>
      <c r="EW23" s="31"/>
      <c r="EX23" s="31"/>
      <c r="EY23" s="31"/>
      <c r="EZ23" s="31"/>
      <c r="FA23" s="31"/>
      <c r="FB23" s="31"/>
      <c r="FC23" s="31"/>
      <c r="FD23" s="31"/>
      <c r="FE23" s="31"/>
      <c r="FF23" s="31"/>
      <c r="FG23" s="31"/>
      <c r="FH23" s="31"/>
      <c r="FI23" s="31"/>
      <c r="FJ23" s="31"/>
      <c r="FK23" s="31"/>
      <c r="FL23" s="31"/>
      <c r="FM23" s="31"/>
      <c r="FN23" s="31"/>
      <c r="FO23" s="31"/>
      <c r="FP23" s="31"/>
      <c r="FQ23" s="31"/>
      <c r="FR23" s="31"/>
      <c r="FS23" s="31"/>
      <c r="FT23" s="31"/>
      <c r="FU23" s="31"/>
      <c r="FV23" s="31"/>
      <c r="FW23" s="31"/>
      <c r="FX23" s="31"/>
      <c r="FY23" s="31"/>
      <c r="FZ23" s="31"/>
      <c r="GA23" s="31"/>
      <c r="GB23" s="31"/>
      <c r="GC23" s="31"/>
      <c r="GD23" s="31"/>
      <c r="GE23" s="31"/>
      <c r="GF23" s="31"/>
      <c r="GG23" s="31"/>
      <c r="GH23" s="31"/>
      <c r="GI23" s="31"/>
      <c r="GJ23" s="31"/>
      <c r="GK23" s="31"/>
      <c r="GL23" s="31"/>
      <c r="GM23" s="31"/>
      <c r="GN23" s="31"/>
      <c r="GO23" s="31"/>
      <c r="GP23" s="31"/>
      <c r="GQ23" s="31"/>
      <c r="GR23" s="31"/>
      <c r="GS23" s="31"/>
      <c r="GT23" s="31"/>
      <c r="GU23" s="31"/>
      <c r="GV23" s="31"/>
      <c r="GW23" s="31"/>
      <c r="GX23" s="31"/>
      <c r="GY23" s="31"/>
      <c r="GZ23" s="31"/>
      <c r="HA23" s="31"/>
      <c r="HB23" s="31"/>
      <c r="HC23" s="31"/>
      <c r="HD23" s="31"/>
      <c r="HE23" s="31"/>
      <c r="HF23" s="31"/>
      <c r="HG23" s="31"/>
      <c r="HH23" s="31"/>
      <c r="HI23" s="31"/>
      <c r="HJ23" s="31"/>
      <c r="HK23" s="31"/>
      <c r="HL23" s="31"/>
      <c r="HM23" s="31"/>
      <c r="HN23" s="31"/>
      <c r="HO23" s="31"/>
      <c r="HP23" s="31"/>
      <c r="HQ23" s="31"/>
      <c r="HR23" s="31"/>
      <c r="HS23" s="31"/>
      <c r="HT23" s="31"/>
      <c r="HU23" s="31"/>
      <c r="HV23" s="31"/>
      <c r="HW23" s="31"/>
      <c r="HX23" s="31"/>
      <c r="HY23" s="31"/>
      <c r="HZ23" s="31"/>
      <c r="IA23" s="31"/>
      <c r="IB23" s="31"/>
      <c r="IC23" s="31"/>
      <c r="ID23" s="31"/>
      <c r="IE23" s="31"/>
      <c r="IF23" s="31"/>
      <c r="IG23" s="31"/>
      <c r="IH23" s="31"/>
      <c r="II23" s="31"/>
      <c r="IJ23" s="31"/>
      <c r="IK23" s="31"/>
      <c r="IL23" s="31"/>
      <c r="IM23" s="31"/>
      <c r="IN23" s="31"/>
      <c r="IO23" s="31"/>
      <c r="IP23" s="35"/>
      <c r="IQ23" s="31"/>
      <c r="IR23" s="31"/>
      <c r="IS23" s="31"/>
      <c r="IT23" s="31"/>
      <c r="IU23" s="31"/>
      <c r="IV23" s="31"/>
      <c r="IW23" s="31"/>
      <c r="IX23" s="31"/>
      <c r="IY23" s="31"/>
      <c r="IZ23" s="31"/>
      <c r="JA23" s="31"/>
      <c r="JB23" s="31"/>
      <c r="JC23" s="31"/>
      <c r="JD23" s="31"/>
      <c r="JE23" s="31"/>
      <c r="JF23" s="31"/>
      <c r="JG23" s="31"/>
      <c r="JH23" s="31"/>
      <c r="JI23" s="31"/>
      <c r="JJ23" s="31"/>
      <c r="JK23" s="31"/>
      <c r="JL23" s="31"/>
      <c r="JM23" s="31"/>
      <c r="JN23" s="31"/>
      <c r="JO23" s="31"/>
      <c r="JP23" s="31"/>
      <c r="JQ23" s="31"/>
      <c r="JR23" s="31"/>
      <c r="JS23" s="31"/>
      <c r="JT23" s="31"/>
      <c r="JU23" s="31"/>
      <c r="JV23" s="31"/>
      <c r="JW23" s="31"/>
      <c r="JX23" s="31"/>
      <c r="JY23" s="31"/>
      <c r="JZ23" s="31"/>
      <c r="KA23" s="31"/>
      <c r="KB23" s="31"/>
      <c r="KC23" s="31"/>
      <c r="KD23" s="31"/>
      <c r="KE23" s="31"/>
      <c r="KF23" s="31"/>
      <c r="KG23" s="31"/>
      <c r="KH23" s="31"/>
      <c r="KI23" s="31"/>
      <c r="KJ23" s="31"/>
      <c r="KK23" s="31"/>
      <c r="KL23" s="31"/>
      <c r="KM23" s="31"/>
      <c r="KN23" s="31"/>
      <c r="KO23" s="31"/>
      <c r="KP23" s="31"/>
      <c r="KQ23" s="31"/>
      <c r="KR23" s="31"/>
      <c r="KS23" s="31"/>
      <c r="KT23" s="31"/>
      <c r="KU23" s="31"/>
      <c r="KV23" s="31"/>
      <c r="KW23" s="31"/>
      <c r="KX23" s="31"/>
      <c r="KY23" s="31"/>
      <c r="KZ23" s="31"/>
      <c r="LA23" s="31"/>
      <c r="LB23" s="31"/>
      <c r="LC23" s="31"/>
      <c r="LD23" s="31"/>
      <c r="LE23" s="31"/>
      <c r="LF23" s="31"/>
      <c r="LG23" s="31"/>
      <c r="LH23" s="31"/>
      <c r="LI23" s="31"/>
      <c r="LJ23" s="31"/>
      <c r="LK23" s="31"/>
      <c r="LL23" s="31"/>
      <c r="LM23" s="31"/>
      <c r="LN23" s="31"/>
      <c r="LO23" s="31"/>
      <c r="LP23" s="31"/>
      <c r="LQ23" s="31"/>
      <c r="LR23" s="31"/>
      <c r="LS23" s="31"/>
      <c r="LT23" s="31"/>
      <c r="LU23" s="31"/>
      <c r="LV23" s="31"/>
      <c r="LW23" s="31"/>
      <c r="LX23" s="31"/>
      <c r="LY23" s="31"/>
      <c r="LZ23" s="31"/>
      <c r="MA23" s="31"/>
      <c r="MB23" s="31"/>
      <c r="MC23" s="31"/>
      <c r="MD23" s="31"/>
      <c r="ME23" s="31"/>
      <c r="MF23" s="31"/>
      <c r="MG23" s="31"/>
      <c r="MH23" s="31"/>
      <c r="MI23" s="31"/>
      <c r="MJ23" s="31"/>
      <c r="MK23" s="31"/>
      <c r="ML23" s="31"/>
      <c r="MM23" s="31"/>
      <c r="MN23" s="31"/>
      <c r="MO23" s="31"/>
      <c r="MP23" s="31"/>
      <c r="MQ23" s="31"/>
      <c r="MR23" s="31"/>
      <c r="MS23" s="31"/>
      <c r="MT23" s="31"/>
      <c r="MU23" s="31"/>
      <c r="MV23" s="31"/>
      <c r="MW23" s="31"/>
      <c r="MX23" s="31"/>
      <c r="MY23" s="31"/>
      <c r="MZ23" s="31"/>
      <c r="NA23" s="31"/>
      <c r="NB23" s="31"/>
      <c r="NC23" s="31"/>
      <c r="ND23" s="31"/>
      <c r="NE23" s="31"/>
      <c r="NF23" s="31"/>
      <c r="NG23" s="31"/>
      <c r="NH23" s="31"/>
      <c r="NI23" s="31"/>
      <c r="NJ23" s="31"/>
      <c r="NK23" s="31"/>
      <c r="NL23" s="31"/>
      <c r="NM23" s="31"/>
      <c r="NN23" s="31"/>
      <c r="NO23" s="31"/>
      <c r="NP23" s="31"/>
      <c r="NQ23" s="31"/>
      <c r="NR23" s="31"/>
      <c r="NS23" s="31"/>
      <c r="NT23" s="31"/>
      <c r="NU23" s="31"/>
      <c r="NV23" s="31"/>
      <c r="NW23" s="31"/>
      <c r="NX23" s="31"/>
      <c r="NY23" s="31"/>
      <c r="NZ23" s="31"/>
      <c r="OA23" s="31"/>
      <c r="OB23" s="31"/>
      <c r="OC23" s="31"/>
      <c r="OD23" s="31"/>
      <c r="OE23" s="31"/>
      <c r="OF23" s="31"/>
      <c r="OG23" s="31"/>
      <c r="OH23" s="31"/>
      <c r="OI23" s="31"/>
      <c r="OJ23" s="31"/>
      <c r="OK23" s="31"/>
      <c r="OL23" s="31"/>
      <c r="OM23" s="31"/>
      <c r="ON23" s="31"/>
      <c r="OO23" s="31"/>
      <c r="OP23" s="31"/>
      <c r="OQ23" s="31"/>
      <c r="OR23" s="31"/>
      <c r="OS23" s="31"/>
      <c r="OT23" s="31"/>
      <c r="OU23" s="31"/>
      <c r="OV23" s="31"/>
      <c r="OW23" s="31"/>
      <c r="OX23" s="31"/>
      <c r="OY23" s="31"/>
      <c r="OZ23" s="31"/>
      <c r="PA23" s="31"/>
      <c r="PB23" s="31"/>
      <c r="PC23" s="31"/>
      <c r="PD23" s="31"/>
      <c r="PE23" s="31"/>
      <c r="PF23" s="31"/>
      <c r="PG23" s="31"/>
      <c r="PH23" s="31"/>
      <c r="PI23" s="31"/>
      <c r="PJ23" s="31"/>
      <c r="PK23" s="31"/>
      <c r="PL23" s="31"/>
      <c r="PM23" s="31"/>
      <c r="PN23" s="31"/>
      <c r="PO23" s="31"/>
      <c r="PP23" s="31"/>
      <c r="PQ23" s="31"/>
      <c r="PR23" s="31"/>
      <c r="PS23" s="31"/>
      <c r="PT23" s="31"/>
      <c r="PU23" s="31"/>
      <c r="PV23" s="31"/>
      <c r="PW23" s="31"/>
      <c r="PX23" s="31"/>
      <c r="PY23" s="31"/>
      <c r="PZ23" s="31"/>
      <c r="QA23" s="31"/>
      <c r="QB23" s="31"/>
      <c r="QC23" s="31"/>
      <c r="QD23" s="31"/>
      <c r="QE23" s="31"/>
      <c r="QF23" s="31"/>
      <c r="QG23" s="31"/>
      <c r="QH23" s="31"/>
      <c r="QI23" s="31"/>
      <c r="QJ23" s="31"/>
      <c r="QK23" s="31"/>
      <c r="QL23" s="31"/>
      <c r="QM23" s="31"/>
      <c r="QN23" s="31"/>
      <c r="QO23" s="31"/>
      <c r="QP23" s="31"/>
      <c r="QQ23" s="31"/>
      <c r="QR23" s="31"/>
      <c r="QS23" s="31"/>
      <c r="QT23" s="31"/>
      <c r="QU23" s="31"/>
      <c r="QV23" s="31"/>
      <c r="QW23" s="31"/>
      <c r="QX23" s="31"/>
      <c r="QY23" s="31"/>
      <c r="QZ23" s="31"/>
      <c r="RA23" s="31"/>
      <c r="RB23" s="31"/>
      <c r="RC23" s="31"/>
      <c r="RD23" s="31"/>
      <c r="RE23" s="31"/>
      <c r="RF23" s="31"/>
      <c r="RG23" s="31"/>
      <c r="RH23" s="31"/>
      <c r="RI23" s="31"/>
      <c r="RJ23" s="31"/>
      <c r="RK23" s="31"/>
      <c r="RL23" s="31"/>
      <c r="RM23" s="31"/>
      <c r="RN23" s="31"/>
      <c r="RO23" s="31"/>
      <c r="RP23" s="31"/>
      <c r="RQ23" s="31"/>
      <c r="RR23" s="31"/>
      <c r="RS23" s="31"/>
      <c r="RT23" s="31"/>
      <c r="RU23" s="31"/>
      <c r="RV23" s="31"/>
      <c r="RW23" s="31"/>
      <c r="RX23" s="31"/>
      <c r="RY23" s="31"/>
      <c r="RZ23" s="31"/>
      <c r="SA23" s="31"/>
      <c r="SB23" s="31"/>
      <c r="SC23" s="31"/>
      <c r="SD23" s="31"/>
      <c r="SE23" s="31"/>
      <c r="SF23" s="31"/>
      <c r="SG23" s="31"/>
      <c r="SH23" s="31"/>
      <c r="SI23" s="31"/>
      <c r="SJ23" s="31"/>
      <c r="SK23" s="31"/>
      <c r="SL23" s="31"/>
      <c r="SM23" s="31"/>
      <c r="SN23" s="31"/>
      <c r="SO23" s="31"/>
      <c r="SP23" s="31"/>
      <c r="SQ23" s="31"/>
      <c r="SR23" s="31"/>
      <c r="SS23" s="31"/>
      <c r="ST23" s="31"/>
      <c r="SU23" s="31"/>
      <c r="SV23" s="31"/>
      <c r="SW23" s="31"/>
      <c r="SX23" s="31"/>
      <c r="SY23" s="31"/>
      <c r="SZ23" s="31"/>
      <c r="TA23" s="31"/>
      <c r="TB23" s="31"/>
      <c r="TC23" s="31"/>
      <c r="TD23" s="31"/>
      <c r="TE23" s="31"/>
      <c r="TF23" s="31"/>
      <c r="TG23" s="31"/>
      <c r="TH23" s="31"/>
      <c r="TI23" s="31"/>
      <c r="TJ23" s="31"/>
      <c r="TK23" s="31"/>
      <c r="TL23" s="31"/>
      <c r="TM23" s="31"/>
      <c r="TN23" s="31"/>
      <c r="TO23" s="31"/>
      <c r="TP23" s="31"/>
      <c r="TQ23" s="31"/>
      <c r="TR23" s="31"/>
      <c r="TS23" s="31"/>
      <c r="TT23" s="31"/>
      <c r="TU23" s="31"/>
      <c r="TV23" s="31"/>
      <c r="TW23" s="31"/>
      <c r="TX23" s="31"/>
      <c r="TY23" s="31"/>
      <c r="TZ23" s="31"/>
      <c r="UA23" s="31"/>
      <c r="UB23" s="31"/>
      <c r="UC23" s="31"/>
      <c r="UD23" s="31"/>
      <c r="UE23" s="31"/>
      <c r="UF23" s="31"/>
      <c r="UG23" s="31"/>
      <c r="UH23" s="31"/>
      <c r="UI23" s="31"/>
      <c r="UJ23" s="31"/>
      <c r="UK23" s="31"/>
      <c r="UL23" s="31"/>
      <c r="UM23" s="31"/>
      <c r="UN23" s="31"/>
      <c r="UO23" s="31"/>
      <c r="UP23" s="31"/>
      <c r="UQ23" s="31"/>
      <c r="UR23" s="31"/>
      <c r="US23" s="31"/>
      <c r="UT23" s="31"/>
      <c r="UU23" s="31"/>
      <c r="UV23" s="31"/>
      <c r="UW23" s="31"/>
      <c r="UX23" s="31"/>
      <c r="UY23" s="31"/>
      <c r="UZ23" s="31"/>
      <c r="VA23" s="31"/>
      <c r="VB23" s="31"/>
      <c r="VC23" s="31"/>
      <c r="VD23" s="31"/>
      <c r="VE23" s="31"/>
      <c r="VF23" s="31"/>
      <c r="VG23" s="31"/>
      <c r="VH23" s="31"/>
      <c r="VI23" s="31"/>
      <c r="VJ23" s="31"/>
      <c r="VK23" s="31"/>
      <c r="VL23" s="31"/>
      <c r="VM23" s="31"/>
      <c r="VN23" s="31"/>
      <c r="VO23" s="31"/>
      <c r="VP23" s="31"/>
      <c r="VQ23" s="31"/>
      <c r="VR23" s="31"/>
      <c r="VS23" s="31"/>
      <c r="VT23" s="31"/>
      <c r="VU23" s="31"/>
      <c r="VV23" s="31"/>
      <c r="VW23" s="31"/>
      <c r="VX23" s="31"/>
      <c r="VY23" s="31"/>
      <c r="VZ23" s="31"/>
      <c r="WA23" s="31"/>
      <c r="WB23" s="31"/>
      <c r="WC23" s="31"/>
      <c r="WD23" s="31"/>
      <c r="WE23" s="31"/>
      <c r="WF23" s="31"/>
      <c r="WG23" s="31"/>
      <c r="WH23" s="31"/>
      <c r="WI23" s="31"/>
      <c r="WJ23" s="31"/>
      <c r="WK23" s="31"/>
      <c r="WL23" s="31"/>
      <c r="WM23" s="31"/>
      <c r="WN23" s="31"/>
      <c r="WO23" s="31"/>
      <c r="WP23" s="31"/>
      <c r="WQ23" s="31"/>
      <c r="WR23" s="31"/>
      <c r="WS23" s="31"/>
      <c r="WT23" s="31"/>
      <c r="WU23" s="31"/>
      <c r="WV23" s="31"/>
      <c r="WW23" s="31"/>
      <c r="WX23" s="31"/>
      <c r="WY23" s="31"/>
      <c r="WZ23" s="31"/>
      <c r="XA23" s="31"/>
      <c r="XB23" s="31"/>
      <c r="XC23" s="31"/>
      <c r="XD23" s="31"/>
      <c r="XE23" s="31"/>
      <c r="XF23" s="31"/>
      <c r="XG23" s="31"/>
      <c r="XH23" s="31"/>
      <c r="XI23" s="31"/>
      <c r="XJ23" s="31"/>
      <c r="XK23" s="31"/>
      <c r="XL23" s="31"/>
      <c r="XM23" s="31"/>
      <c r="XN23" s="31"/>
      <c r="XO23" s="31"/>
      <c r="XP23" s="31"/>
      <c r="XQ23" s="31"/>
      <c r="XR23" s="31"/>
      <c r="XS23" s="31"/>
      <c r="XT23" s="31"/>
      <c r="XU23" s="31"/>
      <c r="XV23" s="31"/>
      <c r="XW23" s="31"/>
      <c r="XX23" s="31"/>
      <c r="XY23" s="31"/>
      <c r="XZ23" s="31"/>
      <c r="YA23" s="31"/>
      <c r="YB23" s="31"/>
      <c r="YC23" s="31"/>
      <c r="YD23" s="31"/>
      <c r="YE23" s="31"/>
      <c r="YF23" s="31"/>
      <c r="YG23" s="31"/>
      <c r="YH23" s="31"/>
      <c r="YI23" s="31"/>
      <c r="YJ23" s="31"/>
      <c r="YK23" s="31"/>
      <c r="YL23" s="31"/>
      <c r="YM23" s="31"/>
      <c r="YN23" s="31"/>
      <c r="YO23" s="31"/>
      <c r="YP23" s="31"/>
      <c r="YQ23" s="31"/>
      <c r="YR23" s="31"/>
      <c r="YS23" s="31"/>
      <c r="YT23" s="31"/>
      <c r="YU23" s="31"/>
      <c r="YV23" s="31"/>
      <c r="YW23" s="31"/>
      <c r="YX23" s="31"/>
      <c r="YY23" s="31"/>
      <c r="YZ23" s="31"/>
      <c r="ZA23" s="31"/>
      <c r="ZB23" s="31"/>
      <c r="ZC23" s="31"/>
      <c r="ZD23" s="31"/>
      <c r="ZE23" s="31"/>
      <c r="ZF23" s="31"/>
      <c r="ZG23" s="31"/>
      <c r="ZH23" s="31"/>
      <c r="ZI23" s="31"/>
      <c r="ZJ23" s="31"/>
      <c r="ZK23" s="31"/>
      <c r="ZL23" s="31"/>
      <c r="ZM23" s="31"/>
      <c r="ZN23" s="31"/>
      <c r="ZO23" s="31"/>
      <c r="ZP23" s="31"/>
      <c r="ZQ23" s="31"/>
      <c r="ZR23" s="31"/>
      <c r="ZS23" s="31"/>
      <c r="ZT23" s="31"/>
      <c r="ZU23" s="31"/>
      <c r="ZV23" s="31"/>
      <c r="ZW23" s="31"/>
      <c r="ZX23" s="31"/>
      <c r="ZY23" s="31"/>
      <c r="ZZ23" s="31"/>
      <c r="AAA23" s="31"/>
      <c r="AAB23" s="31"/>
      <c r="AAC23" s="31"/>
      <c r="AAD23" s="31"/>
      <c r="AAE23" s="31"/>
      <c r="AAF23" s="31"/>
      <c r="AAG23" s="31"/>
      <c r="AAH23" s="31"/>
      <c r="AAI23" s="31"/>
      <c r="AAJ23" s="31"/>
      <c r="AAK23" s="31"/>
      <c r="AAL23" s="31"/>
      <c r="AAM23" s="31"/>
      <c r="AAN23" s="31"/>
      <c r="AAO23" s="31"/>
      <c r="AAP23" s="31"/>
      <c r="AAQ23" s="31"/>
      <c r="AAR23" s="31"/>
      <c r="AAS23" s="31"/>
      <c r="AAT23" s="31"/>
      <c r="AAU23" s="31"/>
      <c r="AAV23" s="31"/>
      <c r="AAW23" s="31"/>
      <c r="AAX23" s="31"/>
      <c r="AAY23" s="31"/>
      <c r="AAZ23" s="31"/>
      <c r="ABA23" s="31"/>
      <c r="ABB23" s="31"/>
      <c r="ABC23" s="31"/>
      <c r="ABD23" s="31"/>
      <c r="ABE23" s="31"/>
      <c r="ABF23" s="31"/>
      <c r="ABG23" s="31"/>
      <c r="ABH23" s="31"/>
      <c r="ABI23" s="31"/>
      <c r="ABJ23" s="31"/>
      <c r="ABK23" s="31"/>
      <c r="ABL23" s="31"/>
      <c r="ABM23" s="31"/>
      <c r="ABN23" s="31"/>
      <c r="ABO23" s="31"/>
      <c r="ABP23" s="31"/>
      <c r="ABQ23" s="31"/>
      <c r="ABR23" s="31"/>
      <c r="ABS23" s="31"/>
      <c r="ABT23" s="31"/>
      <c r="ABU23" s="31"/>
      <c r="ABV23" s="31"/>
      <c r="ABW23" s="31"/>
      <c r="ABX23" s="31"/>
      <c r="ABY23" s="31"/>
      <c r="ABZ23" s="31"/>
      <c r="ACA23" s="31"/>
      <c r="ACB23" s="31"/>
      <c r="ACC23" s="31"/>
      <c r="ACD23" s="31"/>
      <c r="ACE23" s="31"/>
      <c r="ACF23" s="31"/>
      <c r="ACG23" s="31"/>
      <c r="ACH23" s="31"/>
      <c r="ACI23" s="31"/>
      <c r="ACJ23" s="31"/>
      <c r="ACK23" s="31"/>
      <c r="ACL23" s="31"/>
      <c r="ACM23" s="31"/>
      <c r="ACN23" s="31"/>
      <c r="ACO23" s="31"/>
      <c r="ACP23" s="31"/>
      <c r="ACQ23" s="31"/>
      <c r="ACR23" s="31"/>
      <c r="ACS23" s="31"/>
      <c r="ACT23" s="31"/>
      <c r="ACU23" s="31"/>
      <c r="ACV23" s="31"/>
      <c r="ACW23" s="31"/>
      <c r="ACX23" s="31"/>
      <c r="ACY23" s="31"/>
      <c r="ACZ23" s="31"/>
      <c r="ADA23" s="31"/>
      <c r="ADB23" s="31"/>
      <c r="ADC23" s="31"/>
      <c r="ADD23" s="31"/>
      <c r="ADE23" s="31"/>
      <c r="ADF23" s="31"/>
      <c r="ADG23" s="31"/>
      <c r="ADH23" s="31"/>
      <c r="ADI23" s="31"/>
      <c r="ADJ23" s="31"/>
      <c r="ADK23" s="31"/>
      <c r="ADL23" s="31"/>
      <c r="ADM23" s="31"/>
      <c r="ADN23" s="31"/>
      <c r="ADO23" s="31"/>
      <c r="ADP23" s="31"/>
      <c r="ADQ23" s="31"/>
      <c r="ADR23" s="31"/>
      <c r="ADS23" s="31"/>
      <c r="ADT23" s="31"/>
      <c r="ADU23" s="31"/>
      <c r="ADV23" s="31"/>
      <c r="ADW23" s="31"/>
      <c r="ADX23" s="31"/>
      <c r="ADY23" s="31"/>
      <c r="ADZ23" s="31"/>
      <c r="AEA23" s="31"/>
      <c r="AEB23" s="31"/>
      <c r="AEC23" s="31"/>
      <c r="AED23" s="31"/>
      <c r="AEE23" s="31"/>
      <c r="AEF23" s="31"/>
      <c r="AEG23" s="31"/>
      <c r="AEH23" s="31"/>
      <c r="AEI23" s="31"/>
      <c r="AEJ23" s="31"/>
      <c r="AEK23" s="31"/>
      <c r="AEL23" s="31"/>
      <c r="AEM23" s="31"/>
      <c r="AEN23" s="31"/>
      <c r="AEO23" s="31"/>
      <c r="AEP23" s="31"/>
      <c r="AEQ23" s="31"/>
      <c r="AER23" s="31"/>
      <c r="AES23" s="31"/>
      <c r="AET23" s="31"/>
      <c r="AEU23" s="31"/>
      <c r="AEV23" s="31"/>
      <c r="AEW23" s="31"/>
      <c r="AEX23" s="31"/>
      <c r="AEY23" s="31"/>
      <c r="AEZ23" s="31"/>
      <c r="AFA23" s="31"/>
      <c r="AFB23" s="31"/>
      <c r="AFC23" s="31"/>
      <c r="AFD23" s="31"/>
      <c r="AFE23" s="31"/>
      <c r="AFF23" s="31"/>
      <c r="AFG23" s="31"/>
      <c r="AFH23" s="31"/>
      <c r="AFI23" s="31"/>
      <c r="AFJ23" s="31"/>
      <c r="AFK23" s="31"/>
      <c r="AFL23" s="31"/>
      <c r="AFM23" s="31"/>
      <c r="AFN23" s="31"/>
      <c r="AFO23" s="31"/>
      <c r="AFP23" s="31"/>
      <c r="AFQ23" s="31"/>
      <c r="AFR23" s="31"/>
      <c r="AFS23" s="31"/>
      <c r="AFT23" s="31"/>
      <c r="AFU23" s="31"/>
      <c r="AFV23" s="31"/>
      <c r="AFW23" s="31"/>
      <c r="AFX23" s="31"/>
      <c r="AFY23" s="31"/>
      <c r="AFZ23" s="31"/>
      <c r="AGA23" s="31"/>
      <c r="AGB23" s="31"/>
      <c r="AGC23" s="31"/>
      <c r="AGD23" s="31"/>
      <c r="AGE23" s="31"/>
      <c r="AGF23" s="31"/>
      <c r="AGG23" s="31"/>
      <c r="AGH23" s="31"/>
      <c r="AGI23" s="31"/>
      <c r="AGJ23" s="31"/>
      <c r="AGK23" s="31"/>
      <c r="AGL23" s="31"/>
      <c r="AGM23" s="31"/>
      <c r="AGN23" s="31"/>
      <c r="AGO23" s="31"/>
      <c r="AGP23" s="31"/>
      <c r="AGQ23" s="31"/>
      <c r="AGR23" s="31"/>
      <c r="AGS23" s="31"/>
      <c r="AGT23" s="31"/>
      <c r="AGU23" s="31"/>
      <c r="AGV23" s="31"/>
      <c r="AGW23" s="31"/>
      <c r="AGX23" s="31"/>
      <c r="AGY23" s="31"/>
      <c r="AGZ23" s="31"/>
      <c r="AHA23" s="31"/>
      <c r="AHB23" s="31"/>
      <c r="AHC23" s="31"/>
      <c r="AHD23" s="31"/>
      <c r="AHE23" s="31"/>
      <c r="AHF23" s="31"/>
      <c r="AHG23" s="31"/>
      <c r="AHH23" s="31"/>
      <c r="AHI23" s="31"/>
      <c r="AHJ23" s="31"/>
      <c r="AHK23" s="31"/>
      <c r="AHL23" s="31"/>
      <c r="AHM23" s="31"/>
      <c r="AHN23" s="31"/>
      <c r="AHO23" s="31"/>
      <c r="AHP23" s="31"/>
      <c r="AHQ23" s="31"/>
      <c r="AHR23" s="31"/>
      <c r="AHS23" s="31"/>
      <c r="AHT23" s="31"/>
      <c r="AHU23" s="31"/>
      <c r="AHV23" s="31"/>
      <c r="AHW23" s="31"/>
      <c r="AHX23" s="31"/>
      <c r="AHY23" s="31"/>
      <c r="AHZ23" s="31"/>
      <c r="AIA23" s="31"/>
      <c r="AIB23" s="31"/>
      <c r="AIC23" s="31"/>
      <c r="AID23" s="31"/>
      <c r="AIE23" s="31"/>
      <c r="AIF23" s="31"/>
      <c r="AIG23" s="31"/>
      <c r="AIH23" s="31"/>
      <c r="AII23" s="31"/>
      <c r="AIJ23" s="31"/>
      <c r="AIK23" s="31"/>
      <c r="AIL23" s="31"/>
      <c r="AIM23" s="31"/>
      <c r="AIN23" s="31"/>
      <c r="AIO23" s="31"/>
      <c r="AIP23" s="31"/>
      <c r="AIQ23" s="31"/>
      <c r="AIR23" s="31"/>
      <c r="AIS23" s="31"/>
      <c r="AIT23" s="31"/>
      <c r="AIU23" s="31"/>
      <c r="AIV23" s="31"/>
      <c r="AIW23" s="31"/>
      <c r="AIX23" s="31"/>
      <c r="AIY23" s="31"/>
      <c r="AIZ23" s="31"/>
      <c r="AJA23" s="31"/>
      <c r="AJB23" s="31"/>
      <c r="AJC23" s="31"/>
      <c r="AJD23" s="31"/>
      <c r="AJE23" s="31"/>
      <c r="AJF23" s="31"/>
      <c r="AJG23" s="31"/>
      <c r="AJH23" s="31"/>
      <c r="AJI23" s="31"/>
      <c r="AJJ23" s="31"/>
      <c r="AJK23" s="31"/>
      <c r="AJL23" s="31"/>
      <c r="AJM23" s="31"/>
      <c r="AJN23" s="31"/>
      <c r="AJO23" s="31"/>
      <c r="AJP23" s="31"/>
      <c r="AJQ23" s="31"/>
      <c r="AJR23" s="31"/>
      <c r="AJS23" s="31"/>
      <c r="AJT23" s="31"/>
      <c r="AJU23" s="31"/>
      <c r="AJV23" s="31"/>
      <c r="AJW23" s="31"/>
      <c r="AJX23" s="31"/>
      <c r="AJY23" s="31"/>
      <c r="AJZ23" s="31"/>
      <c r="AKA23" s="31"/>
      <c r="AKB23" s="31"/>
      <c r="AKC23" s="31"/>
      <c r="AKD23" s="31"/>
      <c r="AKE23" s="31"/>
      <c r="AKF23" s="31"/>
      <c r="AKG23" s="31"/>
      <c r="AKH23" s="31"/>
      <c r="AKI23" s="31"/>
      <c r="AKJ23" s="31"/>
      <c r="AKK23" s="31"/>
      <c r="AKL23" s="31"/>
      <c r="AKM23" s="31"/>
      <c r="AKN23" s="31"/>
      <c r="AKO23" s="31"/>
      <c r="AKP23" s="31"/>
      <c r="AKQ23" s="31"/>
      <c r="AKR23" s="31"/>
      <c r="AKS23" s="31"/>
      <c r="AKT23" s="31"/>
      <c r="AKU23" s="31"/>
      <c r="AKV23" s="31"/>
      <c r="AKW23" s="31"/>
      <c r="AKX23" s="31"/>
      <c r="AKY23" s="31"/>
      <c r="AKZ23" s="31"/>
      <c r="ALA23" s="31"/>
      <c r="ALB23" s="31"/>
      <c r="ALC23" s="31"/>
      <c r="ALD23" s="31"/>
      <c r="ALE23" s="31"/>
      <c r="ALF23" s="31"/>
      <c r="ALG23" s="31"/>
      <c r="ALH23" s="31"/>
      <c r="ALI23" s="31"/>
      <c r="ALJ23" s="31"/>
      <c r="ALK23" s="31"/>
      <c r="ALL23" s="31"/>
      <c r="ALM23" s="31"/>
      <c r="ALN23" s="31"/>
      <c r="ALO23" s="31"/>
      <c r="ALP23" s="31"/>
      <c r="ALQ23" s="31"/>
      <c r="ALR23" s="31"/>
      <c r="ALS23" s="31"/>
      <c r="ALT23" s="31"/>
      <c r="ALU23" s="31"/>
      <c r="ALV23" s="31"/>
      <c r="ALW23" s="31"/>
      <c r="ALX23" s="31"/>
      <c r="ALY23" s="31"/>
      <c r="ALZ23" s="31"/>
      <c r="AMA23" s="31"/>
      <c r="AMB23" s="31"/>
      <c r="AMC23" s="31"/>
      <c r="AMD23" s="31"/>
      <c r="AME23" s="31"/>
    </row>
    <row r="24" customFormat="false" ht="22.5" hidden="false" customHeight="true" outlineLevel="0" collapsed="false">
      <c r="A24" s="31"/>
      <c r="B24" s="32"/>
      <c r="C24" s="36" t="s">
        <v>26</v>
      </c>
      <c r="D24" s="36" t="s">
        <v>27</v>
      </c>
      <c r="E24" s="36" t="s">
        <v>28</v>
      </c>
      <c r="F24" s="37" t="s">
        <v>26</v>
      </c>
      <c r="G24" s="37" t="s">
        <v>27</v>
      </c>
      <c r="H24" s="37" t="s">
        <v>28</v>
      </c>
      <c r="I24" s="37" t="s">
        <v>29</v>
      </c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1"/>
      <c r="CK24" s="31"/>
      <c r="CL24" s="31"/>
      <c r="CM24" s="31"/>
      <c r="CN24" s="31"/>
      <c r="CO24" s="31"/>
      <c r="CP24" s="31"/>
      <c r="CQ24" s="31"/>
      <c r="CR24" s="31"/>
      <c r="CS24" s="31"/>
      <c r="CT24" s="31"/>
      <c r="CU24" s="31"/>
      <c r="CV24" s="31"/>
      <c r="CW24" s="31"/>
      <c r="CX24" s="31"/>
      <c r="CY24" s="31"/>
      <c r="CZ24" s="31"/>
      <c r="DA24" s="31"/>
      <c r="DB24" s="31"/>
      <c r="DC24" s="31"/>
      <c r="DD24" s="31"/>
      <c r="DE24" s="31"/>
      <c r="DF24" s="31"/>
      <c r="DG24" s="31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  <c r="EL24" s="31"/>
      <c r="EM24" s="31"/>
      <c r="EN24" s="31"/>
      <c r="EO24" s="31"/>
      <c r="EP24" s="31"/>
      <c r="EQ24" s="31"/>
      <c r="ER24" s="31"/>
      <c r="ES24" s="31"/>
      <c r="ET24" s="31"/>
      <c r="EU24" s="31"/>
      <c r="EV24" s="31"/>
      <c r="EW24" s="31"/>
      <c r="EX24" s="31"/>
      <c r="EY24" s="31"/>
      <c r="EZ24" s="31"/>
      <c r="FA24" s="31"/>
      <c r="FB24" s="31"/>
      <c r="FC24" s="31"/>
      <c r="FD24" s="31"/>
      <c r="FE24" s="31"/>
      <c r="FF24" s="31"/>
      <c r="FG24" s="31"/>
      <c r="FH24" s="31"/>
      <c r="FI24" s="31"/>
      <c r="FJ24" s="31"/>
      <c r="FK24" s="31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5"/>
      <c r="IQ24" s="31"/>
      <c r="IR24" s="31"/>
      <c r="IS24" s="31"/>
      <c r="IT24" s="31"/>
      <c r="IU24" s="31"/>
      <c r="IV24" s="31"/>
      <c r="IW24" s="31"/>
      <c r="IX24" s="31"/>
      <c r="IY24" s="31"/>
      <c r="IZ24" s="31"/>
      <c r="JA24" s="31"/>
      <c r="JB24" s="31"/>
      <c r="JC24" s="31"/>
      <c r="JD24" s="31"/>
      <c r="JE24" s="31"/>
      <c r="JF24" s="31"/>
      <c r="JG24" s="31"/>
      <c r="JH24" s="31"/>
      <c r="JI24" s="31"/>
      <c r="JJ24" s="31"/>
      <c r="JK24" s="31"/>
      <c r="JL24" s="31"/>
      <c r="JM24" s="31"/>
      <c r="JN24" s="31"/>
      <c r="JO24" s="31"/>
      <c r="JP24" s="31"/>
      <c r="JQ24" s="31"/>
      <c r="JR24" s="31"/>
      <c r="JS24" s="31"/>
      <c r="JT24" s="31"/>
      <c r="JU24" s="31"/>
      <c r="JV24" s="31"/>
      <c r="JW24" s="31"/>
      <c r="JX24" s="31"/>
      <c r="JY24" s="31"/>
      <c r="JZ24" s="31"/>
      <c r="KA24" s="31"/>
      <c r="KB24" s="31"/>
      <c r="KC24" s="31"/>
      <c r="KD24" s="31"/>
      <c r="KE24" s="31"/>
      <c r="KF24" s="31"/>
      <c r="KG24" s="31"/>
      <c r="KH24" s="31"/>
      <c r="KI24" s="31"/>
      <c r="KJ24" s="31"/>
      <c r="KK24" s="31"/>
      <c r="KL24" s="31"/>
      <c r="KM24" s="31"/>
      <c r="KN24" s="31"/>
      <c r="KO24" s="31"/>
      <c r="KP24" s="31"/>
      <c r="KQ24" s="31"/>
      <c r="KR24" s="31"/>
      <c r="KS24" s="31"/>
      <c r="KT24" s="31"/>
      <c r="KU24" s="31"/>
      <c r="KV24" s="31"/>
      <c r="KW24" s="31"/>
      <c r="KX24" s="31"/>
      <c r="KY24" s="31"/>
      <c r="KZ24" s="31"/>
      <c r="LA24" s="31"/>
      <c r="LB24" s="31"/>
      <c r="LC24" s="31"/>
      <c r="LD24" s="31"/>
      <c r="LE24" s="31"/>
      <c r="LF24" s="31"/>
      <c r="LG24" s="31"/>
      <c r="LH24" s="31"/>
      <c r="LI24" s="31"/>
      <c r="LJ24" s="31"/>
      <c r="LK24" s="31"/>
      <c r="LL24" s="31"/>
      <c r="LM24" s="31"/>
      <c r="LN24" s="31"/>
      <c r="LO24" s="31"/>
      <c r="LP24" s="31"/>
      <c r="LQ24" s="31"/>
      <c r="LR24" s="31"/>
      <c r="LS24" s="31"/>
      <c r="LT24" s="31"/>
      <c r="LU24" s="31"/>
      <c r="LV24" s="31"/>
      <c r="LW24" s="31"/>
      <c r="LX24" s="31"/>
      <c r="LY24" s="31"/>
      <c r="LZ24" s="31"/>
      <c r="MA24" s="31"/>
      <c r="MB24" s="31"/>
      <c r="MC24" s="31"/>
      <c r="MD24" s="31"/>
      <c r="ME24" s="31"/>
      <c r="MF24" s="31"/>
      <c r="MG24" s="31"/>
      <c r="MH24" s="31"/>
      <c r="MI24" s="31"/>
      <c r="MJ24" s="31"/>
      <c r="MK24" s="31"/>
      <c r="ML24" s="31"/>
      <c r="MM24" s="31"/>
      <c r="MN24" s="31"/>
      <c r="MO24" s="31"/>
      <c r="MP24" s="31"/>
      <c r="MQ24" s="31"/>
      <c r="MR24" s="31"/>
      <c r="MS24" s="31"/>
      <c r="MT24" s="31"/>
      <c r="MU24" s="31"/>
      <c r="MV24" s="31"/>
      <c r="MW24" s="31"/>
      <c r="MX24" s="31"/>
      <c r="MY24" s="31"/>
      <c r="MZ24" s="31"/>
      <c r="NA24" s="31"/>
      <c r="NB24" s="31"/>
      <c r="NC24" s="31"/>
      <c r="ND24" s="31"/>
      <c r="NE24" s="31"/>
      <c r="NF24" s="31"/>
      <c r="NG24" s="31"/>
      <c r="NH24" s="31"/>
      <c r="NI24" s="31"/>
      <c r="NJ24" s="31"/>
      <c r="NK24" s="31"/>
      <c r="NL24" s="31"/>
      <c r="NM24" s="31"/>
      <c r="NN24" s="31"/>
      <c r="NO24" s="31"/>
      <c r="NP24" s="31"/>
      <c r="NQ24" s="31"/>
      <c r="NR24" s="31"/>
      <c r="NS24" s="31"/>
      <c r="NT24" s="31"/>
      <c r="NU24" s="31"/>
      <c r="NV24" s="31"/>
      <c r="NW24" s="31"/>
      <c r="NX24" s="31"/>
      <c r="NY24" s="31"/>
      <c r="NZ24" s="31"/>
      <c r="OA24" s="31"/>
      <c r="OB24" s="31"/>
      <c r="OC24" s="31"/>
      <c r="OD24" s="31"/>
      <c r="OE24" s="31"/>
      <c r="OF24" s="31"/>
      <c r="OG24" s="31"/>
      <c r="OH24" s="31"/>
      <c r="OI24" s="31"/>
      <c r="OJ24" s="31"/>
      <c r="OK24" s="31"/>
      <c r="OL24" s="31"/>
      <c r="OM24" s="31"/>
      <c r="ON24" s="31"/>
      <c r="OO24" s="31"/>
      <c r="OP24" s="31"/>
      <c r="OQ24" s="31"/>
      <c r="OR24" s="31"/>
      <c r="OS24" s="31"/>
      <c r="OT24" s="31"/>
      <c r="OU24" s="31"/>
      <c r="OV24" s="31"/>
      <c r="OW24" s="31"/>
      <c r="OX24" s="31"/>
      <c r="OY24" s="31"/>
      <c r="OZ24" s="31"/>
      <c r="PA24" s="31"/>
      <c r="PB24" s="31"/>
      <c r="PC24" s="31"/>
      <c r="PD24" s="31"/>
      <c r="PE24" s="31"/>
      <c r="PF24" s="31"/>
      <c r="PG24" s="31"/>
      <c r="PH24" s="31"/>
      <c r="PI24" s="31"/>
      <c r="PJ24" s="31"/>
      <c r="PK24" s="31"/>
      <c r="PL24" s="31"/>
      <c r="PM24" s="31"/>
      <c r="PN24" s="31"/>
      <c r="PO24" s="31"/>
      <c r="PP24" s="31"/>
      <c r="PQ24" s="31"/>
      <c r="PR24" s="31"/>
      <c r="PS24" s="31"/>
      <c r="PT24" s="31"/>
      <c r="PU24" s="31"/>
      <c r="PV24" s="31"/>
      <c r="PW24" s="31"/>
      <c r="PX24" s="31"/>
      <c r="PY24" s="31"/>
      <c r="PZ24" s="31"/>
      <c r="QA24" s="31"/>
      <c r="QB24" s="31"/>
      <c r="QC24" s="31"/>
      <c r="QD24" s="31"/>
      <c r="QE24" s="31"/>
      <c r="QF24" s="31"/>
      <c r="QG24" s="31"/>
      <c r="QH24" s="31"/>
      <c r="QI24" s="31"/>
      <c r="QJ24" s="31"/>
      <c r="QK24" s="31"/>
      <c r="QL24" s="31"/>
      <c r="QM24" s="31"/>
      <c r="QN24" s="31"/>
      <c r="QO24" s="31"/>
      <c r="QP24" s="31"/>
      <c r="QQ24" s="31"/>
      <c r="QR24" s="31"/>
      <c r="QS24" s="31"/>
      <c r="QT24" s="31"/>
      <c r="QU24" s="31"/>
      <c r="QV24" s="31"/>
      <c r="QW24" s="31"/>
      <c r="QX24" s="31"/>
      <c r="QY24" s="31"/>
      <c r="QZ24" s="31"/>
      <c r="RA24" s="31"/>
      <c r="RB24" s="31"/>
      <c r="RC24" s="31"/>
      <c r="RD24" s="31"/>
      <c r="RE24" s="31"/>
      <c r="RF24" s="31"/>
      <c r="RG24" s="31"/>
      <c r="RH24" s="31"/>
      <c r="RI24" s="31"/>
      <c r="RJ24" s="31"/>
      <c r="RK24" s="31"/>
      <c r="RL24" s="31"/>
      <c r="RM24" s="31"/>
      <c r="RN24" s="31"/>
      <c r="RO24" s="31"/>
      <c r="RP24" s="31"/>
      <c r="RQ24" s="31"/>
      <c r="RR24" s="31"/>
      <c r="RS24" s="31"/>
      <c r="RT24" s="31"/>
      <c r="RU24" s="31"/>
      <c r="RV24" s="31"/>
      <c r="RW24" s="31"/>
      <c r="RX24" s="31"/>
      <c r="RY24" s="31"/>
      <c r="RZ24" s="31"/>
      <c r="SA24" s="31"/>
      <c r="SB24" s="31"/>
      <c r="SC24" s="31"/>
      <c r="SD24" s="31"/>
      <c r="SE24" s="31"/>
      <c r="SF24" s="31"/>
      <c r="SG24" s="31"/>
      <c r="SH24" s="31"/>
      <c r="SI24" s="31"/>
      <c r="SJ24" s="31"/>
      <c r="SK24" s="31"/>
      <c r="SL24" s="31"/>
      <c r="SM24" s="31"/>
      <c r="SN24" s="31"/>
      <c r="SO24" s="31"/>
      <c r="SP24" s="31"/>
      <c r="SQ24" s="31"/>
      <c r="SR24" s="31"/>
      <c r="SS24" s="31"/>
      <c r="ST24" s="31"/>
      <c r="SU24" s="31"/>
      <c r="SV24" s="31"/>
      <c r="SW24" s="31"/>
      <c r="SX24" s="31"/>
      <c r="SY24" s="31"/>
      <c r="SZ24" s="31"/>
      <c r="TA24" s="31"/>
      <c r="TB24" s="31"/>
      <c r="TC24" s="31"/>
      <c r="TD24" s="31"/>
      <c r="TE24" s="31"/>
      <c r="TF24" s="31"/>
      <c r="TG24" s="31"/>
      <c r="TH24" s="31"/>
      <c r="TI24" s="31"/>
      <c r="TJ24" s="31"/>
      <c r="TK24" s="31"/>
      <c r="TL24" s="31"/>
      <c r="TM24" s="31"/>
      <c r="TN24" s="31"/>
      <c r="TO24" s="31"/>
      <c r="TP24" s="31"/>
      <c r="TQ24" s="31"/>
      <c r="TR24" s="31"/>
      <c r="TS24" s="31"/>
      <c r="TT24" s="31"/>
      <c r="TU24" s="31"/>
      <c r="TV24" s="31"/>
      <c r="TW24" s="31"/>
      <c r="TX24" s="31"/>
      <c r="TY24" s="31"/>
      <c r="TZ24" s="31"/>
      <c r="UA24" s="31"/>
      <c r="UB24" s="31"/>
      <c r="UC24" s="31"/>
      <c r="UD24" s="31"/>
      <c r="UE24" s="31"/>
      <c r="UF24" s="31"/>
      <c r="UG24" s="31"/>
      <c r="UH24" s="31"/>
      <c r="UI24" s="31"/>
      <c r="UJ24" s="31"/>
      <c r="UK24" s="31"/>
      <c r="UL24" s="31"/>
      <c r="UM24" s="31"/>
      <c r="UN24" s="31"/>
      <c r="UO24" s="31"/>
      <c r="UP24" s="31"/>
      <c r="UQ24" s="31"/>
      <c r="UR24" s="31"/>
      <c r="US24" s="31"/>
      <c r="UT24" s="31"/>
      <c r="UU24" s="31"/>
      <c r="UV24" s="31"/>
      <c r="UW24" s="31"/>
      <c r="UX24" s="31"/>
      <c r="UY24" s="31"/>
      <c r="UZ24" s="31"/>
      <c r="VA24" s="31"/>
      <c r="VB24" s="31"/>
      <c r="VC24" s="31"/>
      <c r="VD24" s="31"/>
      <c r="VE24" s="31"/>
      <c r="VF24" s="31"/>
      <c r="VG24" s="31"/>
      <c r="VH24" s="31"/>
      <c r="VI24" s="31"/>
      <c r="VJ24" s="31"/>
      <c r="VK24" s="31"/>
      <c r="VL24" s="31"/>
      <c r="VM24" s="31"/>
      <c r="VN24" s="31"/>
      <c r="VO24" s="31"/>
      <c r="VP24" s="31"/>
      <c r="VQ24" s="31"/>
      <c r="VR24" s="31"/>
      <c r="VS24" s="31"/>
      <c r="VT24" s="31"/>
      <c r="VU24" s="31"/>
      <c r="VV24" s="31"/>
      <c r="VW24" s="31"/>
      <c r="VX24" s="31"/>
      <c r="VY24" s="31"/>
      <c r="VZ24" s="31"/>
      <c r="WA24" s="31"/>
      <c r="WB24" s="31"/>
      <c r="WC24" s="31"/>
      <c r="WD24" s="31"/>
      <c r="WE24" s="31"/>
      <c r="WF24" s="31"/>
      <c r="WG24" s="31"/>
      <c r="WH24" s="31"/>
      <c r="WI24" s="31"/>
      <c r="WJ24" s="31"/>
      <c r="WK24" s="31"/>
      <c r="WL24" s="31"/>
      <c r="WM24" s="31"/>
      <c r="WN24" s="31"/>
      <c r="WO24" s="31"/>
      <c r="WP24" s="31"/>
      <c r="WQ24" s="31"/>
      <c r="WR24" s="31"/>
      <c r="WS24" s="31"/>
      <c r="WT24" s="31"/>
      <c r="WU24" s="31"/>
      <c r="WV24" s="31"/>
      <c r="WW24" s="31"/>
      <c r="WX24" s="31"/>
      <c r="WY24" s="31"/>
      <c r="WZ24" s="31"/>
      <c r="XA24" s="31"/>
      <c r="XB24" s="31"/>
      <c r="XC24" s="31"/>
      <c r="XD24" s="31"/>
      <c r="XE24" s="31"/>
      <c r="XF24" s="31"/>
      <c r="XG24" s="31"/>
      <c r="XH24" s="31"/>
      <c r="XI24" s="31"/>
      <c r="XJ24" s="31"/>
      <c r="XK24" s="31"/>
      <c r="XL24" s="31"/>
      <c r="XM24" s="31"/>
      <c r="XN24" s="31"/>
      <c r="XO24" s="31"/>
      <c r="XP24" s="31"/>
      <c r="XQ24" s="31"/>
      <c r="XR24" s="31"/>
      <c r="XS24" s="31"/>
      <c r="XT24" s="31"/>
      <c r="XU24" s="31"/>
      <c r="XV24" s="31"/>
      <c r="XW24" s="31"/>
      <c r="XX24" s="31"/>
      <c r="XY24" s="31"/>
      <c r="XZ24" s="31"/>
      <c r="YA24" s="31"/>
      <c r="YB24" s="31"/>
      <c r="YC24" s="31"/>
      <c r="YD24" s="31"/>
      <c r="YE24" s="31"/>
      <c r="YF24" s="31"/>
      <c r="YG24" s="31"/>
      <c r="YH24" s="31"/>
      <c r="YI24" s="31"/>
      <c r="YJ24" s="31"/>
      <c r="YK24" s="31"/>
      <c r="YL24" s="31"/>
      <c r="YM24" s="31"/>
      <c r="YN24" s="31"/>
      <c r="YO24" s="31"/>
      <c r="YP24" s="31"/>
      <c r="YQ24" s="31"/>
      <c r="YR24" s="31"/>
      <c r="YS24" s="31"/>
      <c r="YT24" s="31"/>
      <c r="YU24" s="31"/>
      <c r="YV24" s="31"/>
      <c r="YW24" s="31"/>
      <c r="YX24" s="31"/>
      <c r="YY24" s="31"/>
      <c r="YZ24" s="31"/>
      <c r="ZA24" s="31"/>
      <c r="ZB24" s="31"/>
      <c r="ZC24" s="31"/>
      <c r="ZD24" s="31"/>
      <c r="ZE24" s="31"/>
      <c r="ZF24" s="31"/>
      <c r="ZG24" s="31"/>
      <c r="ZH24" s="31"/>
      <c r="ZI24" s="31"/>
      <c r="ZJ24" s="31"/>
      <c r="ZK24" s="31"/>
      <c r="ZL24" s="31"/>
      <c r="ZM24" s="31"/>
      <c r="ZN24" s="31"/>
      <c r="ZO24" s="31"/>
      <c r="ZP24" s="31"/>
      <c r="ZQ24" s="31"/>
      <c r="ZR24" s="31"/>
      <c r="ZS24" s="31"/>
      <c r="ZT24" s="31"/>
      <c r="ZU24" s="31"/>
      <c r="ZV24" s="31"/>
      <c r="ZW24" s="31"/>
      <c r="ZX24" s="31"/>
      <c r="ZY24" s="31"/>
      <c r="ZZ24" s="31"/>
      <c r="AAA24" s="31"/>
      <c r="AAB24" s="31"/>
      <c r="AAC24" s="31"/>
      <c r="AAD24" s="31"/>
      <c r="AAE24" s="31"/>
      <c r="AAF24" s="31"/>
      <c r="AAG24" s="31"/>
      <c r="AAH24" s="31"/>
      <c r="AAI24" s="31"/>
      <c r="AAJ24" s="31"/>
      <c r="AAK24" s="31"/>
      <c r="AAL24" s="31"/>
      <c r="AAM24" s="31"/>
      <c r="AAN24" s="31"/>
      <c r="AAO24" s="31"/>
      <c r="AAP24" s="31"/>
      <c r="AAQ24" s="31"/>
      <c r="AAR24" s="31"/>
      <c r="AAS24" s="31"/>
      <c r="AAT24" s="31"/>
      <c r="AAU24" s="31"/>
      <c r="AAV24" s="31"/>
      <c r="AAW24" s="31"/>
      <c r="AAX24" s="31"/>
      <c r="AAY24" s="31"/>
      <c r="AAZ24" s="31"/>
      <c r="ABA24" s="31"/>
      <c r="ABB24" s="31"/>
      <c r="ABC24" s="31"/>
      <c r="ABD24" s="31"/>
      <c r="ABE24" s="31"/>
      <c r="ABF24" s="31"/>
      <c r="ABG24" s="31"/>
      <c r="ABH24" s="31"/>
      <c r="ABI24" s="31"/>
      <c r="ABJ24" s="31"/>
      <c r="ABK24" s="31"/>
      <c r="ABL24" s="31"/>
      <c r="ABM24" s="31"/>
      <c r="ABN24" s="31"/>
      <c r="ABO24" s="31"/>
      <c r="ABP24" s="31"/>
      <c r="ABQ24" s="31"/>
      <c r="ABR24" s="31"/>
      <c r="ABS24" s="31"/>
      <c r="ABT24" s="31"/>
      <c r="ABU24" s="31"/>
      <c r="ABV24" s="31"/>
      <c r="ABW24" s="31"/>
      <c r="ABX24" s="31"/>
      <c r="ABY24" s="31"/>
      <c r="ABZ24" s="31"/>
      <c r="ACA24" s="31"/>
      <c r="ACB24" s="31"/>
      <c r="ACC24" s="31"/>
      <c r="ACD24" s="31"/>
      <c r="ACE24" s="31"/>
      <c r="ACF24" s="31"/>
      <c r="ACG24" s="31"/>
      <c r="ACH24" s="31"/>
      <c r="ACI24" s="31"/>
      <c r="ACJ24" s="31"/>
      <c r="ACK24" s="31"/>
      <c r="ACL24" s="31"/>
      <c r="ACM24" s="31"/>
      <c r="ACN24" s="31"/>
      <c r="ACO24" s="31"/>
      <c r="ACP24" s="31"/>
      <c r="ACQ24" s="31"/>
      <c r="ACR24" s="31"/>
      <c r="ACS24" s="31"/>
      <c r="ACT24" s="31"/>
      <c r="ACU24" s="31"/>
      <c r="ACV24" s="31"/>
      <c r="ACW24" s="31"/>
      <c r="ACX24" s="31"/>
      <c r="ACY24" s="31"/>
      <c r="ACZ24" s="31"/>
      <c r="ADA24" s="31"/>
      <c r="ADB24" s="31"/>
      <c r="ADC24" s="31"/>
      <c r="ADD24" s="31"/>
      <c r="ADE24" s="31"/>
      <c r="ADF24" s="31"/>
      <c r="ADG24" s="31"/>
      <c r="ADH24" s="31"/>
      <c r="ADI24" s="31"/>
      <c r="ADJ24" s="31"/>
      <c r="ADK24" s="31"/>
      <c r="ADL24" s="31"/>
      <c r="ADM24" s="31"/>
      <c r="ADN24" s="31"/>
      <c r="ADO24" s="31"/>
      <c r="ADP24" s="31"/>
      <c r="ADQ24" s="31"/>
      <c r="ADR24" s="31"/>
      <c r="ADS24" s="31"/>
      <c r="ADT24" s="31"/>
      <c r="ADU24" s="31"/>
      <c r="ADV24" s="31"/>
      <c r="ADW24" s="31"/>
      <c r="ADX24" s="31"/>
      <c r="ADY24" s="31"/>
      <c r="ADZ24" s="31"/>
      <c r="AEA24" s="31"/>
      <c r="AEB24" s="31"/>
      <c r="AEC24" s="31"/>
      <c r="AED24" s="31"/>
      <c r="AEE24" s="31"/>
      <c r="AEF24" s="31"/>
      <c r="AEG24" s="31"/>
      <c r="AEH24" s="31"/>
      <c r="AEI24" s="31"/>
      <c r="AEJ24" s="31"/>
      <c r="AEK24" s="31"/>
      <c r="AEL24" s="31"/>
      <c r="AEM24" s="31"/>
      <c r="AEN24" s="31"/>
      <c r="AEO24" s="31"/>
      <c r="AEP24" s="31"/>
      <c r="AEQ24" s="31"/>
      <c r="AER24" s="31"/>
      <c r="AES24" s="31"/>
      <c r="AET24" s="31"/>
      <c r="AEU24" s="31"/>
      <c r="AEV24" s="31"/>
      <c r="AEW24" s="31"/>
      <c r="AEX24" s="31"/>
      <c r="AEY24" s="31"/>
      <c r="AEZ24" s="31"/>
      <c r="AFA24" s="31"/>
      <c r="AFB24" s="31"/>
      <c r="AFC24" s="31"/>
      <c r="AFD24" s="31"/>
      <c r="AFE24" s="31"/>
      <c r="AFF24" s="31"/>
      <c r="AFG24" s="31"/>
      <c r="AFH24" s="31"/>
      <c r="AFI24" s="31"/>
      <c r="AFJ24" s="31"/>
      <c r="AFK24" s="31"/>
      <c r="AFL24" s="31"/>
      <c r="AFM24" s="31"/>
      <c r="AFN24" s="31"/>
      <c r="AFO24" s="31"/>
      <c r="AFP24" s="31"/>
      <c r="AFQ24" s="31"/>
      <c r="AFR24" s="31"/>
      <c r="AFS24" s="31"/>
      <c r="AFT24" s="31"/>
      <c r="AFU24" s="31"/>
      <c r="AFV24" s="31"/>
      <c r="AFW24" s="31"/>
      <c r="AFX24" s="31"/>
      <c r="AFY24" s="31"/>
      <c r="AFZ24" s="31"/>
      <c r="AGA24" s="31"/>
      <c r="AGB24" s="31"/>
      <c r="AGC24" s="31"/>
      <c r="AGD24" s="31"/>
      <c r="AGE24" s="31"/>
      <c r="AGF24" s="31"/>
      <c r="AGG24" s="31"/>
      <c r="AGH24" s="31"/>
      <c r="AGI24" s="31"/>
      <c r="AGJ24" s="31"/>
      <c r="AGK24" s="31"/>
      <c r="AGL24" s="31"/>
      <c r="AGM24" s="31"/>
      <c r="AGN24" s="31"/>
      <c r="AGO24" s="31"/>
      <c r="AGP24" s="31"/>
      <c r="AGQ24" s="31"/>
      <c r="AGR24" s="31"/>
      <c r="AGS24" s="31"/>
      <c r="AGT24" s="31"/>
      <c r="AGU24" s="31"/>
      <c r="AGV24" s="31"/>
      <c r="AGW24" s="31"/>
      <c r="AGX24" s="31"/>
      <c r="AGY24" s="31"/>
      <c r="AGZ24" s="31"/>
      <c r="AHA24" s="31"/>
      <c r="AHB24" s="31"/>
      <c r="AHC24" s="31"/>
      <c r="AHD24" s="31"/>
      <c r="AHE24" s="31"/>
      <c r="AHF24" s="31"/>
      <c r="AHG24" s="31"/>
      <c r="AHH24" s="31"/>
      <c r="AHI24" s="31"/>
      <c r="AHJ24" s="31"/>
      <c r="AHK24" s="31"/>
      <c r="AHL24" s="31"/>
      <c r="AHM24" s="31"/>
      <c r="AHN24" s="31"/>
      <c r="AHO24" s="31"/>
      <c r="AHP24" s="31"/>
      <c r="AHQ24" s="31"/>
      <c r="AHR24" s="31"/>
      <c r="AHS24" s="31"/>
      <c r="AHT24" s="31"/>
      <c r="AHU24" s="31"/>
      <c r="AHV24" s="31"/>
      <c r="AHW24" s="31"/>
      <c r="AHX24" s="31"/>
      <c r="AHY24" s="31"/>
      <c r="AHZ24" s="31"/>
      <c r="AIA24" s="31"/>
      <c r="AIB24" s="31"/>
      <c r="AIC24" s="31"/>
      <c r="AID24" s="31"/>
      <c r="AIE24" s="31"/>
      <c r="AIF24" s="31"/>
      <c r="AIG24" s="31"/>
      <c r="AIH24" s="31"/>
      <c r="AII24" s="31"/>
      <c r="AIJ24" s="31"/>
      <c r="AIK24" s="31"/>
      <c r="AIL24" s="31"/>
      <c r="AIM24" s="31"/>
      <c r="AIN24" s="31"/>
      <c r="AIO24" s="31"/>
      <c r="AIP24" s="31"/>
      <c r="AIQ24" s="31"/>
      <c r="AIR24" s="31"/>
      <c r="AIS24" s="31"/>
      <c r="AIT24" s="31"/>
      <c r="AIU24" s="31"/>
      <c r="AIV24" s="31"/>
      <c r="AIW24" s="31"/>
      <c r="AIX24" s="31"/>
      <c r="AIY24" s="31"/>
      <c r="AIZ24" s="31"/>
      <c r="AJA24" s="31"/>
      <c r="AJB24" s="31"/>
      <c r="AJC24" s="31"/>
      <c r="AJD24" s="31"/>
      <c r="AJE24" s="31"/>
      <c r="AJF24" s="31"/>
      <c r="AJG24" s="31"/>
      <c r="AJH24" s="31"/>
      <c r="AJI24" s="31"/>
      <c r="AJJ24" s="31"/>
      <c r="AJK24" s="31"/>
      <c r="AJL24" s="31"/>
      <c r="AJM24" s="31"/>
      <c r="AJN24" s="31"/>
      <c r="AJO24" s="31"/>
      <c r="AJP24" s="31"/>
      <c r="AJQ24" s="31"/>
      <c r="AJR24" s="31"/>
      <c r="AJS24" s="31"/>
      <c r="AJT24" s="31"/>
      <c r="AJU24" s="31"/>
      <c r="AJV24" s="31"/>
      <c r="AJW24" s="31"/>
      <c r="AJX24" s="31"/>
      <c r="AJY24" s="31"/>
      <c r="AJZ24" s="31"/>
      <c r="AKA24" s="31"/>
      <c r="AKB24" s="31"/>
      <c r="AKC24" s="31"/>
      <c r="AKD24" s="31"/>
      <c r="AKE24" s="31"/>
      <c r="AKF24" s="31"/>
      <c r="AKG24" s="31"/>
      <c r="AKH24" s="31"/>
      <c r="AKI24" s="31"/>
      <c r="AKJ24" s="31"/>
      <c r="AKK24" s="31"/>
      <c r="AKL24" s="31"/>
      <c r="AKM24" s="31"/>
      <c r="AKN24" s="31"/>
      <c r="AKO24" s="31"/>
      <c r="AKP24" s="31"/>
      <c r="AKQ24" s="31"/>
      <c r="AKR24" s="31"/>
      <c r="AKS24" s="31"/>
      <c r="AKT24" s="31"/>
      <c r="AKU24" s="31"/>
      <c r="AKV24" s="31"/>
      <c r="AKW24" s="31"/>
      <c r="AKX24" s="31"/>
      <c r="AKY24" s="31"/>
      <c r="AKZ24" s="31"/>
      <c r="ALA24" s="31"/>
      <c r="ALB24" s="31"/>
      <c r="ALC24" s="31"/>
      <c r="ALD24" s="31"/>
      <c r="ALE24" s="31"/>
      <c r="ALF24" s="31"/>
      <c r="ALG24" s="31"/>
      <c r="ALH24" s="31"/>
      <c r="ALI24" s="31"/>
      <c r="ALJ24" s="31"/>
      <c r="ALK24" s="31"/>
      <c r="ALL24" s="31"/>
      <c r="ALM24" s="31"/>
      <c r="ALN24" s="31"/>
      <c r="ALO24" s="31"/>
      <c r="ALP24" s="31"/>
      <c r="ALQ24" s="31"/>
      <c r="ALR24" s="31"/>
      <c r="ALS24" s="31"/>
      <c r="ALT24" s="31"/>
      <c r="ALU24" s="31"/>
      <c r="ALV24" s="31"/>
      <c r="ALW24" s="31"/>
      <c r="ALX24" s="31"/>
      <c r="ALY24" s="31"/>
      <c r="ALZ24" s="31"/>
      <c r="AMA24" s="31"/>
      <c r="AMB24" s="31"/>
      <c r="AMC24" s="31"/>
      <c r="AMD24" s="31"/>
      <c r="AME24" s="31"/>
    </row>
    <row r="25" customFormat="false" ht="16.5" hidden="false" customHeight="true" outlineLevel="0" collapsed="false">
      <c r="B25" s="24" t="str">
        <f aca="false">'Base Novo Hamburgo'!B7</f>
        <v>GEX NOVO HAMBURGO</v>
      </c>
      <c r="C25" s="26" t="n">
        <f aca="false">'Base Novo Hamburgo'!AO7</f>
        <v>1014.45306507013</v>
      </c>
      <c r="D25" s="26" t="n">
        <f aca="false">C25*3</f>
        <v>3043.35919521038</v>
      </c>
      <c r="E25" s="26" t="n">
        <f aca="false">C25+D25</f>
        <v>4057.81226028051</v>
      </c>
      <c r="F25" s="26" t="n">
        <f aca="false">C25*12</f>
        <v>12173.4367808415</v>
      </c>
      <c r="G25" s="26" t="n">
        <f aca="false">F25*3</f>
        <v>36520.3103425246</v>
      </c>
      <c r="H25" s="26" t="n">
        <f aca="false">F25+G25</f>
        <v>48693.7471233661</v>
      </c>
      <c r="I25" s="38" t="n">
        <f aca="false">F25/$E$7</f>
        <v>0.0322091964202369</v>
      </c>
    </row>
    <row r="26" customFormat="false" ht="16.5" hidden="false" customHeight="true" outlineLevel="0" collapsed="false">
      <c r="B26" s="24" t="str">
        <f aca="false">'Base Novo Hamburgo'!B8</f>
        <v>APS NOVO HAMBURGO</v>
      </c>
      <c r="C26" s="26" t="n">
        <f aca="false">'Base Novo Hamburgo'!AO8</f>
        <v>687.811756865779</v>
      </c>
      <c r="D26" s="26" t="n">
        <f aca="false">C26*3</f>
        <v>2063.43527059734</v>
      </c>
      <c r="E26" s="26" t="n">
        <f aca="false">C26+D26</f>
        <v>2751.24702746312</v>
      </c>
      <c r="F26" s="26" t="n">
        <f aca="false">C26*12</f>
        <v>8253.74108238935</v>
      </c>
      <c r="G26" s="26" t="n">
        <f aca="false">F26*3</f>
        <v>24761.223247168</v>
      </c>
      <c r="H26" s="26" t="n">
        <f aca="false">F26+G26</f>
        <v>33014.9643295574</v>
      </c>
      <c r="I26" s="38" t="n">
        <f aca="false">F26/$E$7</f>
        <v>0.0218382345520407</v>
      </c>
    </row>
    <row r="27" customFormat="false" ht="16.5" hidden="false" customHeight="true" outlineLevel="0" collapsed="false">
      <c r="B27" s="24" t="str">
        <f aca="false">'Base Novo Hamburgo'!B9</f>
        <v>APS CAMPO BOM</v>
      </c>
      <c r="C27" s="26" t="n">
        <f aca="false">'Base Novo Hamburgo'!AO9</f>
        <v>804.88758514122</v>
      </c>
      <c r="D27" s="26" t="n">
        <f aca="false">C27*3</f>
        <v>2414.66275542366</v>
      </c>
      <c r="E27" s="26" t="n">
        <f aca="false">C27+D27</f>
        <v>3219.55034056488</v>
      </c>
      <c r="F27" s="26" t="n">
        <f aca="false">C27*12</f>
        <v>9658.65102169464</v>
      </c>
      <c r="G27" s="26" t="n">
        <f aca="false">F27*3</f>
        <v>28975.9530650839</v>
      </c>
      <c r="H27" s="26" t="n">
        <f aca="false">F27+G27</f>
        <v>38634.6040867786</v>
      </c>
      <c r="I27" s="38" t="n">
        <f aca="false">F27/$E$7</f>
        <v>0.0255554280613579</v>
      </c>
    </row>
    <row r="28" customFormat="false" ht="16.5" hidden="false" customHeight="true" outlineLevel="0" collapsed="false">
      <c r="B28" s="24" t="str">
        <f aca="false">'Base Novo Hamburgo'!B10</f>
        <v>DEPÓSITO NOVO HAMBURGO</v>
      </c>
      <c r="C28" s="26" t="n">
        <f aca="false">'Base Novo Hamburgo'!AO10</f>
        <v>1027.48366771513</v>
      </c>
      <c r="D28" s="26" t="n">
        <f aca="false">C28*3</f>
        <v>3082.4510031454</v>
      </c>
      <c r="E28" s="26" t="n">
        <f aca="false">C28+D28</f>
        <v>4109.93467086053</v>
      </c>
      <c r="F28" s="26" t="n">
        <f aca="false">C28*12</f>
        <v>12329.8040125816</v>
      </c>
      <c r="G28" s="26" t="n">
        <f aca="false">F28*3</f>
        <v>36989.4120377448</v>
      </c>
      <c r="H28" s="26" t="n">
        <f aca="false">F28+G28</f>
        <v>49319.2160503264</v>
      </c>
      <c r="I28" s="38" t="n">
        <f aca="false">F28/$E$7</f>
        <v>0.0326229220567581</v>
      </c>
    </row>
    <row r="29" customFormat="false" ht="16.5" hidden="false" customHeight="true" outlineLevel="0" collapsed="false">
      <c r="B29" s="24" t="e">
        <f aca="false">#REF!</f>
        <v>#REF!</v>
      </c>
      <c r="C29" s="26" t="e">
        <f aca="false">#REF!</f>
        <v>#REF!</v>
      </c>
      <c r="D29" s="26" t="e">
        <f aca="false">C29*3</f>
        <v>#REF!</v>
      </c>
      <c r="E29" s="26" t="e">
        <f aca="false">C29+D29</f>
        <v>#REF!</v>
      </c>
      <c r="F29" s="26" t="e">
        <f aca="false">C29*12</f>
        <v>#REF!</v>
      </c>
      <c r="G29" s="26" t="e">
        <f aca="false">F29*3</f>
        <v>#REF!</v>
      </c>
      <c r="H29" s="26" t="e">
        <f aca="false">F29+G29</f>
        <v>#REF!</v>
      </c>
      <c r="I29" s="38" t="e">
        <f aca="false">F29/$E$7</f>
        <v>#REF!</v>
      </c>
    </row>
    <row r="30" customFormat="false" ht="16.5" hidden="false" customHeight="true" outlineLevel="0" collapsed="false">
      <c r="B30" s="24" t="str">
        <f aca="false">'Base Novo Hamburgo'!B11</f>
        <v>APS TRÊS COROAS</v>
      </c>
      <c r="C30" s="26" t="n">
        <f aca="false">'Base Novo Hamburgo'!AO11</f>
        <v>919.518093580792</v>
      </c>
      <c r="D30" s="26" t="n">
        <f aca="false">C30*3</f>
        <v>2758.55428074238</v>
      </c>
      <c r="E30" s="26" t="n">
        <f aca="false">C30+D30</f>
        <v>3678.07237432317</v>
      </c>
      <c r="F30" s="26" t="n">
        <f aca="false">C30*12</f>
        <v>11034.2171229695</v>
      </c>
      <c r="G30" s="26" t="n">
        <f aca="false">F30*3</f>
        <v>33102.6513689085</v>
      </c>
      <c r="H30" s="26" t="n">
        <f aca="false">F30+G30</f>
        <v>44136.868491878</v>
      </c>
      <c r="I30" s="38" t="n">
        <f aca="false">F30/$E$7</f>
        <v>0.0291949819147701</v>
      </c>
    </row>
    <row r="31" customFormat="false" ht="16.5" hidden="false" customHeight="true" outlineLevel="0" collapsed="false">
      <c r="B31" s="24" t="str">
        <f aca="false">'Base Novo Hamburgo'!B12</f>
        <v>APS DOIS IRMÃOS</v>
      </c>
      <c r="C31" s="26" t="n">
        <f aca="false">'Base Novo Hamburgo'!AO12</f>
        <v>832.471292860706</v>
      </c>
      <c r="D31" s="26" t="n">
        <f aca="false">C31*3</f>
        <v>2497.41387858212</v>
      </c>
      <c r="E31" s="26" t="n">
        <f aca="false">C31+D31</f>
        <v>3329.88517144283</v>
      </c>
      <c r="F31" s="26" t="n">
        <f aca="false">C31*12</f>
        <v>9989.65551432848</v>
      </c>
      <c r="G31" s="26" t="n">
        <f aca="false">F31*3</f>
        <v>29968.9665429854</v>
      </c>
      <c r="H31" s="26" t="n">
        <f aca="false">F31+G31</f>
        <v>39958.6220573139</v>
      </c>
      <c r="I31" s="38" t="n">
        <f aca="false">F31/$E$7</f>
        <v>0.0264312192541953</v>
      </c>
    </row>
    <row r="32" customFormat="false" ht="16.5" hidden="false" customHeight="true" outlineLevel="0" collapsed="false">
      <c r="B32" s="24" t="str">
        <f aca="false">'Base Novo Hamburgo'!B13</f>
        <v>APS SAPIRANGA</v>
      </c>
      <c r="C32" s="26" t="n">
        <f aca="false">'Base Novo Hamburgo'!AO13</f>
        <v>1055.06737543462</v>
      </c>
      <c r="D32" s="26" t="n">
        <f aca="false">C32*3</f>
        <v>3165.20212630386</v>
      </c>
      <c r="E32" s="26" t="n">
        <f aca="false">C32+D32</f>
        <v>4220.26950173848</v>
      </c>
      <c r="F32" s="26" t="n">
        <f aca="false">C32*12</f>
        <v>12660.8085052154</v>
      </c>
      <c r="G32" s="26" t="n">
        <f aca="false">F32*3</f>
        <v>37982.4255156463</v>
      </c>
      <c r="H32" s="26" t="n">
        <f aca="false">F32+G32</f>
        <v>50643.2340208617</v>
      </c>
      <c r="I32" s="38" t="n">
        <f aca="false">F32/$E$7</f>
        <v>0.0334987132495955</v>
      </c>
    </row>
    <row r="33" customFormat="false" ht="16.5" hidden="false" customHeight="true" outlineLevel="0" collapsed="false">
      <c r="B33" s="24" t="str">
        <f aca="false">'Base Novo Hamburgo'!B14</f>
        <v>APS PORTÃO</v>
      </c>
      <c r="C33" s="26" t="n">
        <f aca="false">'Base Novo Hamburgo'!AO14</f>
        <v>731.189786828254</v>
      </c>
      <c r="D33" s="26" t="n">
        <f aca="false">C33*3</f>
        <v>2193.56936048476</v>
      </c>
      <c r="E33" s="26" t="n">
        <f aca="false">C33+D33</f>
        <v>2924.75914731301</v>
      </c>
      <c r="F33" s="26" t="n">
        <f aca="false">C33*12</f>
        <v>8774.27744193904</v>
      </c>
      <c r="G33" s="26" t="n">
        <f aca="false">F33*3</f>
        <v>26322.8323258171</v>
      </c>
      <c r="H33" s="26" t="n">
        <f aca="false">F33+G33</f>
        <v>35097.1097677562</v>
      </c>
      <c r="I33" s="38" t="n">
        <f aca="false">F33/$E$7</f>
        <v>0.0232155003275527</v>
      </c>
    </row>
    <row r="34" customFormat="false" ht="16.5" hidden="false" customHeight="true" outlineLevel="0" collapsed="false">
      <c r="B34" s="24" t="str">
        <f aca="false">'Base Novo Hamburgo'!B15</f>
        <v>APS SÃO LEOPOLDO</v>
      </c>
      <c r="C34" s="26" t="n">
        <f aca="false">'Base Novo Hamburgo'!AO15</f>
        <v>844.005468387993</v>
      </c>
      <c r="D34" s="26" t="n">
        <f aca="false">C34*3</f>
        <v>2532.01640516398</v>
      </c>
      <c r="E34" s="26" t="n">
        <f aca="false">C34+D34</f>
        <v>3376.02187355197</v>
      </c>
      <c r="F34" s="26" t="n">
        <f aca="false">C34*12</f>
        <v>10128.0656206559</v>
      </c>
      <c r="G34" s="26" t="n">
        <f aca="false">F34*3</f>
        <v>30384.1968619678</v>
      </c>
      <c r="H34" s="26" t="n">
        <f aca="false">F34+G34</f>
        <v>40512.2624826237</v>
      </c>
      <c r="I34" s="38" t="n">
        <f aca="false">F34/$E$7</f>
        <v>0.0267974328700793</v>
      </c>
    </row>
    <row r="35" customFormat="false" ht="16.5" hidden="false" customHeight="true" outlineLevel="0" collapsed="false">
      <c r="B35" s="24" t="str">
        <f aca="false">'Base Novo Hamburgo'!B16</f>
        <v>APS MONTENEGRO</v>
      </c>
      <c r="C35" s="26" t="n">
        <f aca="false">'Base Novo Hamburgo'!AO16</f>
        <v>1134.20570131697</v>
      </c>
      <c r="D35" s="26" t="n">
        <f aca="false">C35*3</f>
        <v>3402.61710395092</v>
      </c>
      <c r="E35" s="26" t="n">
        <f aca="false">C35+D35</f>
        <v>4536.82280526789</v>
      </c>
      <c r="F35" s="26" t="n">
        <f aca="false">C35*12</f>
        <v>13610.4684158037</v>
      </c>
      <c r="G35" s="26" t="n">
        <f aca="false">F35*3</f>
        <v>40831.405247411</v>
      </c>
      <c r="H35" s="26" t="n">
        <f aca="false">F35+G35</f>
        <v>54441.8736632147</v>
      </c>
      <c r="I35" s="38" t="n">
        <f aca="false">F35/$E$7</f>
        <v>0.0360113794048673</v>
      </c>
    </row>
    <row r="36" customFormat="false" ht="16.5" hidden="false" customHeight="true" outlineLevel="0" collapsed="false">
      <c r="B36" s="24" t="str">
        <f aca="false">'Base Novo Hamburgo'!B17</f>
        <v>APS SÃO SEBASTIÃO DO CAÍ</v>
      </c>
      <c r="C36" s="26" t="n">
        <f aca="false">'Base Novo Hamburgo'!AO17</f>
        <v>909.122120220553</v>
      </c>
      <c r="D36" s="26" t="n">
        <f aca="false">C36*3</f>
        <v>2727.36636066166</v>
      </c>
      <c r="E36" s="26" t="n">
        <f aca="false">C36+D36</f>
        <v>3636.48848088221</v>
      </c>
      <c r="F36" s="26" t="n">
        <f aca="false">C36*12</f>
        <v>10909.4654426466</v>
      </c>
      <c r="G36" s="26" t="n">
        <f aca="false">F36*3</f>
        <v>32728.3963279399</v>
      </c>
      <c r="H36" s="26" t="n">
        <f aca="false">F36+G36</f>
        <v>43637.8617705866</v>
      </c>
      <c r="I36" s="38" t="n">
        <f aca="false">F36/$E$7</f>
        <v>0.0288649065673056</v>
      </c>
    </row>
    <row r="37" customFormat="false" ht="16.5" hidden="false" customHeight="true" outlineLevel="0" collapsed="false">
      <c r="B37" s="24" t="str">
        <f aca="false">'Base Novo Hamburgo'!B18</f>
        <v>APS ESTRELA</v>
      </c>
      <c r="C37" s="26" t="n">
        <f aca="false">'Base Novo Hamburgo'!AO18</f>
        <v>1002.08942608234</v>
      </c>
      <c r="D37" s="26" t="n">
        <f aca="false">C37*3</f>
        <v>3006.26827824703</v>
      </c>
      <c r="E37" s="26" t="n">
        <f aca="false">C37+D37</f>
        <v>4008.35770432937</v>
      </c>
      <c r="F37" s="26" t="n">
        <f aca="false">C37*12</f>
        <v>12025.0731129881</v>
      </c>
      <c r="G37" s="26" t="n">
        <f aca="false">F37*3</f>
        <v>36075.2193389643</v>
      </c>
      <c r="H37" s="26" t="n">
        <f aca="false">F37+G37</f>
        <v>48100.2924519524</v>
      </c>
      <c r="I37" s="38" t="n">
        <f aca="false">F37/$E$7</f>
        <v>0.0318166470847002</v>
      </c>
    </row>
    <row r="38" customFormat="false" ht="16.5" hidden="false" customHeight="true" outlineLevel="0" collapsed="false">
      <c r="B38" s="24" t="str">
        <f aca="false">'Base Novo Hamburgo'!B19</f>
        <v>APS LAJEADO</v>
      </c>
      <c r="C38" s="26" t="n">
        <f aca="false">'Base Novo Hamburgo'!AO19</f>
        <v>1248.33027070328</v>
      </c>
      <c r="D38" s="26" t="n">
        <f aca="false">C38*3</f>
        <v>3744.99081210984</v>
      </c>
      <c r="E38" s="26" t="n">
        <f aca="false">C38+D38</f>
        <v>4993.32108281312</v>
      </c>
      <c r="F38" s="26" t="n">
        <f aca="false">C38*12</f>
        <v>14979.9632484394</v>
      </c>
      <c r="G38" s="26" t="n">
        <f aca="false">F38*3</f>
        <v>44939.8897453181</v>
      </c>
      <c r="H38" s="26" t="n">
        <f aca="false">F38+G38</f>
        <v>59919.8529937575</v>
      </c>
      <c r="I38" s="38" t="n">
        <f aca="false">F38/$E$7</f>
        <v>0.0396348695379317</v>
      </c>
    </row>
    <row r="39" customFormat="false" ht="16.5" hidden="false" customHeight="true" outlineLevel="0" collapsed="false">
      <c r="B39" s="24" t="str">
        <f aca="false">'Base Novo Hamburgo'!B20</f>
        <v>APS Encantado</v>
      </c>
      <c r="C39" s="26" t="n">
        <f aca="false">'Base Novo Hamburgo'!AO20</f>
        <v>1445.31687699864</v>
      </c>
      <c r="D39" s="26" t="n">
        <f aca="false">C39*3</f>
        <v>4335.95063099591</v>
      </c>
      <c r="E39" s="26" t="n">
        <f aca="false">C39+D39</f>
        <v>5781.26750799454</v>
      </c>
      <c r="F39" s="26" t="n">
        <f aca="false">C39*12</f>
        <v>17343.8025239836</v>
      </c>
      <c r="G39" s="26" t="n">
        <f aca="false">F39*3</f>
        <v>52031.4075719509</v>
      </c>
      <c r="H39" s="26" t="n">
        <f aca="false">F39+G39</f>
        <v>69375.2100959345</v>
      </c>
      <c r="I39" s="38" t="n">
        <f aca="false">F39/$E$7</f>
        <v>0.0458892547951583</v>
      </c>
    </row>
    <row r="40" customFormat="false" ht="16.5" hidden="false" customHeight="true" outlineLevel="0" collapsed="false">
      <c r="B40" s="24" t="str">
        <f aca="false">'Base Novo Hamburgo'!B21</f>
        <v>APS TEUTÔNIA</v>
      </c>
      <c r="C40" s="26" t="n">
        <f aca="false">'Base Novo Hamburgo'!AO21</f>
        <v>979.233408405161</v>
      </c>
      <c r="D40" s="26" t="n">
        <f aca="false">C40*3</f>
        <v>2937.70022521548</v>
      </c>
      <c r="E40" s="26" t="n">
        <f aca="false">C40+D40</f>
        <v>3916.93363362065</v>
      </c>
      <c r="F40" s="26" t="n">
        <f aca="false">C40*12</f>
        <v>11750.8009008619</v>
      </c>
      <c r="G40" s="26" t="n">
        <f aca="false">F40*3</f>
        <v>35252.4027025858</v>
      </c>
      <c r="H40" s="26" t="n">
        <f aca="false">F40+G40</f>
        <v>47003.2036034477</v>
      </c>
      <c r="I40" s="38" t="n">
        <f aca="false">F40/$E$7</f>
        <v>0.0310909615028858</v>
      </c>
    </row>
    <row r="41" customFormat="false" ht="16.5" hidden="false" customHeight="true" outlineLevel="0" collapsed="false">
      <c r="B41" s="24" t="str">
        <f aca="false">'Base Novo Hamburgo'!B22</f>
        <v>APS TAQUARA</v>
      </c>
      <c r="C41" s="26" t="n">
        <f aca="false">'Base Novo Hamburgo'!AO22</f>
        <v>1188.46494814953</v>
      </c>
      <c r="D41" s="26" t="n">
        <f aca="false">C41*3</f>
        <v>3565.3948444486</v>
      </c>
      <c r="E41" s="26" t="n">
        <f aca="false">C41+D41</f>
        <v>4753.85979259813</v>
      </c>
      <c r="F41" s="26" t="n">
        <f aca="false">C41*12</f>
        <v>14261.5793777944</v>
      </c>
      <c r="G41" s="26" t="n">
        <f aca="false">F41*3</f>
        <v>42784.7381333832</v>
      </c>
      <c r="H41" s="26" t="n">
        <f aca="false">F41+G41</f>
        <v>57046.3175111776</v>
      </c>
      <c r="I41" s="38" t="n">
        <f aca="false">F41/$E$7</f>
        <v>0.0377341271583311</v>
      </c>
    </row>
    <row r="42" customFormat="false" ht="16.5" hidden="false" customHeight="true" outlineLevel="0" collapsed="false">
      <c r="B42" s="24" t="str">
        <f aca="false">'Base Novo Hamburgo'!B23</f>
        <v>APS SANTO ANTÔNIO DA PATRULHA</v>
      </c>
      <c r="C42" s="26" t="n">
        <f aca="false">'Base Novo Hamburgo'!AO23</f>
        <v>864.272905069969</v>
      </c>
      <c r="D42" s="26" t="n">
        <f aca="false">C42*3</f>
        <v>2592.81871520991</v>
      </c>
      <c r="E42" s="26" t="n">
        <f aca="false">C42+D42</f>
        <v>3457.09162027987</v>
      </c>
      <c r="F42" s="26" t="n">
        <f aca="false">C42*12</f>
        <v>10371.2748608396</v>
      </c>
      <c r="G42" s="26" t="n">
        <f aca="false">F42*3</f>
        <v>31113.8245825189</v>
      </c>
      <c r="H42" s="26" t="n">
        <f aca="false">F42+G42</f>
        <v>41485.0994433585</v>
      </c>
      <c r="I42" s="38" t="n">
        <f aca="false">F42/$E$7</f>
        <v>0.0274409302101749</v>
      </c>
    </row>
    <row r="43" customFormat="false" ht="16.5" hidden="false" customHeight="true" outlineLevel="0" collapsed="false">
      <c r="B43" s="24" t="str">
        <f aca="false">'Base Novo Hamburgo'!B24</f>
        <v>APS OSÓRIO</v>
      </c>
      <c r="C43" s="26" t="n">
        <f aca="false">'Base Novo Hamburgo'!AO24</f>
        <v>1549.44475311659</v>
      </c>
      <c r="D43" s="26" t="n">
        <f aca="false">C43*3</f>
        <v>4648.33425934977</v>
      </c>
      <c r="E43" s="26" t="n">
        <f aca="false">C43+D43</f>
        <v>6197.77901246636</v>
      </c>
      <c r="F43" s="26" t="n">
        <f aca="false">C43*12</f>
        <v>18593.3370373991</v>
      </c>
      <c r="G43" s="26" t="n">
        <f aca="false">F43*3</f>
        <v>55780.0111121972</v>
      </c>
      <c r="H43" s="26" t="n">
        <f aca="false">F43+G43</f>
        <v>74373.3481495963</v>
      </c>
      <c r="I43" s="38" t="n">
        <f aca="false">F43/$E$7</f>
        <v>0.0491953468463203</v>
      </c>
    </row>
    <row r="44" customFormat="false" ht="16.5" hidden="false" customHeight="true" outlineLevel="0" collapsed="false">
      <c r="B44" s="24" t="str">
        <f aca="false">'Base Novo Hamburgo'!B25</f>
        <v>APS BUTIÁ</v>
      </c>
      <c r="C44" s="26" t="n">
        <f aca="false">'Base Novo Hamburgo'!AO25</f>
        <v>1030.32372163878</v>
      </c>
      <c r="D44" s="26" t="n">
        <f aca="false">C44*3</f>
        <v>3090.97116491632</v>
      </c>
      <c r="E44" s="26" t="n">
        <f aca="false">C44+D44</f>
        <v>4121.2948865551</v>
      </c>
      <c r="F44" s="26" t="n">
        <f aca="false">C44*12</f>
        <v>12363.8846596653</v>
      </c>
      <c r="G44" s="26" t="n">
        <f aca="false">F44*3</f>
        <v>37091.6539789959</v>
      </c>
      <c r="H44" s="26" t="n">
        <f aca="false">F44+G44</f>
        <v>49455.5386386612</v>
      </c>
      <c r="I44" s="38" t="n">
        <f aca="false">F44/$E$7</f>
        <v>0.0327130946411983</v>
      </c>
    </row>
    <row r="45" customFormat="false" ht="16.5" hidden="false" customHeight="true" outlineLevel="0" collapsed="false">
      <c r="B45" s="24" t="str">
        <f aca="false">'Base Novo Hamburgo'!B26</f>
        <v>APS SÃO JERÔNIMO</v>
      </c>
      <c r="C45" s="26" t="n">
        <f aca="false">'Base Novo Hamburgo'!AO26</f>
        <v>1255.40730273519</v>
      </c>
      <c r="D45" s="26" t="n">
        <f aca="false">C45*3</f>
        <v>3766.22190820558</v>
      </c>
      <c r="E45" s="26" t="n">
        <f aca="false">C45+D45</f>
        <v>5021.62921094078</v>
      </c>
      <c r="F45" s="26" t="n">
        <f aca="false">C45*12</f>
        <v>15064.8876328223</v>
      </c>
      <c r="G45" s="26" t="n">
        <f aca="false">F45*3</f>
        <v>45194.662898467</v>
      </c>
      <c r="H45" s="26" t="n">
        <f aca="false">F45+G45</f>
        <v>60259.5505312893</v>
      </c>
      <c r="I45" s="38" t="n">
        <f aca="false">F45/$E$7</f>
        <v>0.03985956747876</v>
      </c>
    </row>
    <row r="46" customFormat="false" ht="16.5" hidden="false" customHeight="true" outlineLevel="0" collapsed="false">
      <c r="B46" s="24" t="str">
        <f aca="false">'Base Novo Hamburgo'!B27</f>
        <v>APS TAQUARI</v>
      </c>
      <c r="C46" s="26" t="n">
        <f aca="false">'Base Novo Hamburgo'!AO27</f>
        <v>1131.47868453994</v>
      </c>
      <c r="D46" s="26" t="n">
        <f aca="false">C46*3</f>
        <v>3394.43605361981</v>
      </c>
      <c r="E46" s="26" t="n">
        <f aca="false">C46+D46</f>
        <v>4525.91473815974</v>
      </c>
      <c r="F46" s="26" t="n">
        <f aca="false">C46*12</f>
        <v>13577.7442144792</v>
      </c>
      <c r="G46" s="26" t="n">
        <f aca="false">F46*3</f>
        <v>40733.2326434377</v>
      </c>
      <c r="H46" s="26" t="n">
        <f aca="false">F46+G46</f>
        <v>54310.9768579169</v>
      </c>
      <c r="I46" s="38" t="n">
        <f aca="false">F46/$E$7</f>
        <v>0.0359247957845528</v>
      </c>
    </row>
    <row r="47" customFormat="false" ht="22.5" hidden="false" customHeight="true" outlineLevel="0" collapsed="false">
      <c r="B47" s="39" t="str">
        <f aca="false">"Total Base "&amp;B6</f>
        <v>Total Base NOVO HAMBURGO</v>
      </c>
      <c r="C47" s="39" t="e">
        <f aca="false">SUM(C25:C46)</f>
        <v>#REF!</v>
      </c>
      <c r="D47" s="39" t="e">
        <f aca="false">SUM(D25:D46)</f>
        <v>#REF!</v>
      </c>
      <c r="E47" s="39" t="e">
        <f aca="false">SUM(E25:E46)</f>
        <v>#REF!</v>
      </c>
      <c r="F47" s="39" t="e">
        <f aca="false">SUM(F25:F46)</f>
        <v>#REF!</v>
      </c>
      <c r="G47" s="39" t="e">
        <f aca="false">SUM(G25:G46)</f>
        <v>#REF!</v>
      </c>
      <c r="H47" s="39" t="e">
        <f aca="false">SUM(H25:H46)</f>
        <v>#REF!</v>
      </c>
      <c r="I47" s="40" t="e">
        <f aca="false">SUM(I25:I46)</f>
        <v>#REF!</v>
      </c>
    </row>
    <row r="48" customFormat="false" ht="22.5" hidden="false" customHeight="true" outlineLevel="0" collapsed="false">
      <c r="B48" s="43"/>
      <c r="C48" s="41"/>
      <c r="D48" s="41"/>
      <c r="E48" s="41"/>
      <c r="F48" s="41"/>
      <c r="G48" s="41"/>
      <c r="H48" s="41"/>
      <c r="I48" s="42"/>
    </row>
  </sheetData>
  <mergeCells count="7">
    <mergeCell ref="B2:I2"/>
    <mergeCell ref="B9:B10"/>
    <mergeCell ref="C9:E9"/>
    <mergeCell ref="F9:H9"/>
    <mergeCell ref="B23:B24"/>
    <mergeCell ref="C23:E23"/>
    <mergeCell ref="F23:H23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E6552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9" activeCellId="0" sqref="C9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21.62"/>
    <col collapsed="false" customWidth="true" hidden="false" outlineLevel="0" max="5" min="3" style="2" width="14.62"/>
    <col collapsed="false" customWidth="true" hidden="false" outlineLevel="0" max="6" min="6" style="2" width="13.5"/>
    <col collapsed="false" customWidth="true" hidden="false" outlineLevel="0" max="7" min="7" style="2" width="12.5"/>
    <col collapsed="false" customWidth="true" hidden="false" outlineLevel="0" max="257" min="8" style="2" width="10.62"/>
    <col collapsed="false" customWidth="true" hidden="false" outlineLevel="0" max="1025" min="258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44" t="str">
        <f aca="false">"CÁLCULO DO CUSTO DA EQUIPE TÉCNICA PARA O "&amp;'Valor da Contratação'!B7&amp;""</f>
        <v>CÁLCULO DO CUSTO DA EQUIPE TÉCNICA PARA O POLO VIII</v>
      </c>
      <c r="C2" s="44"/>
      <c r="D2" s="44"/>
      <c r="E2" s="44"/>
    </row>
    <row r="3" customFormat="false" ht="15" hidden="false" customHeight="true" outlineLevel="0" collapsed="false">
      <c r="B3" s="45"/>
      <c r="C3" s="45"/>
      <c r="D3" s="45"/>
      <c r="E3" s="45"/>
    </row>
    <row r="4" customFormat="false" ht="45.75" hidden="false" customHeight="true" outlineLevel="0" collapsed="false">
      <c r="B4" s="46" t="s">
        <v>30</v>
      </c>
      <c r="C4" s="47" t="s">
        <v>31</v>
      </c>
      <c r="D4" s="47" t="s">
        <v>32</v>
      </c>
      <c r="E4" s="47" t="s">
        <v>33</v>
      </c>
    </row>
    <row r="5" customFormat="false" ht="19.5" hidden="false" customHeight="true" outlineLevel="0" collapsed="false">
      <c r="B5" s="46"/>
      <c r="C5" s="48" t="n">
        <v>121.61</v>
      </c>
      <c r="D5" s="49" t="n">
        <f aca="false">'Comp. Eng. Eletricista'!D11</f>
        <v>154.024656</v>
      </c>
      <c r="E5" s="48" t="n">
        <v>32.54</v>
      </c>
    </row>
    <row r="6" customFormat="false" ht="19.5" hidden="false" customHeight="true" outlineLevel="0" collapsed="false">
      <c r="B6" s="50" t="s">
        <v>34</v>
      </c>
      <c r="C6" s="51" t="n">
        <v>80</v>
      </c>
      <c r="D6" s="51" t="n">
        <v>16</v>
      </c>
      <c r="E6" s="51" t="n">
        <v>80</v>
      </c>
    </row>
    <row r="7" customFormat="false" ht="19.5" hidden="false" customHeight="true" outlineLevel="0" collapsed="false">
      <c r="B7" s="50" t="s">
        <v>35</v>
      </c>
      <c r="C7" s="48" t="n">
        <f aca="false">C5*C6</f>
        <v>9728.8</v>
      </c>
      <c r="D7" s="48" t="n">
        <f aca="false">D5*D6</f>
        <v>2464.394496</v>
      </c>
      <c r="E7" s="48" t="n">
        <f aca="false">E5*E6</f>
        <v>2603.2</v>
      </c>
    </row>
    <row r="8" customFormat="false" ht="19.5" hidden="false" customHeight="true" outlineLevel="0" collapsed="false">
      <c r="B8" s="50" t="s">
        <v>36</v>
      </c>
      <c r="C8" s="48" t="n">
        <f aca="false">C5*C6*12</f>
        <v>116745.6</v>
      </c>
      <c r="D8" s="48" t="n">
        <f aca="false">D5*D6*12</f>
        <v>29572.733952</v>
      </c>
      <c r="E8" s="48" t="n">
        <f aca="false">E5*E6*12</f>
        <v>31238.4</v>
      </c>
    </row>
    <row r="9" customFormat="false" ht="19.5" hidden="false" customHeight="true" outlineLevel="0" collapsed="false">
      <c r="B9" s="52" t="s">
        <v>37</v>
      </c>
      <c r="C9" s="53"/>
      <c r="D9" s="53"/>
      <c r="E9" s="53"/>
    </row>
    <row r="10" customFormat="false" ht="19.5" hidden="false" customHeight="true" outlineLevel="0" collapsed="false">
      <c r="C10" s="53"/>
      <c r="D10" s="53"/>
      <c r="E10" s="53"/>
    </row>
    <row r="11" customFormat="false" ht="19.5" hidden="false" customHeight="true" outlineLevel="0" collapsed="false">
      <c r="B11" s="46" t="s">
        <v>38</v>
      </c>
      <c r="C11" s="46"/>
      <c r="E11" s="53"/>
    </row>
    <row r="12" customFormat="false" ht="19.5" hidden="false" customHeight="true" outlineLevel="0" collapsed="false">
      <c r="B12" s="50" t="s">
        <v>39</v>
      </c>
      <c r="C12" s="48" t="n">
        <f aca="false">SUM(C7:E7)</f>
        <v>14796.394496</v>
      </c>
      <c r="E12" s="53"/>
    </row>
    <row r="13" customFormat="false" ht="19.5" hidden="false" customHeight="true" outlineLevel="0" collapsed="false">
      <c r="B13" s="50" t="s">
        <v>40</v>
      </c>
      <c r="C13" s="48" t="n">
        <f aca="false">SUM(C8:E8)</f>
        <v>177556.733952</v>
      </c>
    </row>
    <row r="65527" customFormat="false" ht="12.75" hidden="false" customHeight="true" outlineLevel="0" collapsed="false"/>
  </sheetData>
  <mergeCells count="3">
    <mergeCell ref="B2:E2"/>
    <mergeCell ref="B4:B5"/>
    <mergeCell ref="B11:C11"/>
  </mergeCells>
  <printOptions headings="false" gridLines="false" gridLinesSet="true" horizontalCentered="true" verticalCentered="false"/>
  <pageMargins left="0.7875" right="0.7875" top="0.47777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A1:ALX22"/>
  <sheetViews>
    <sheetView showFormulas="false" showGridLines="false" showRowColHeaders="true" showZeros="true" rightToLeft="false" tabSelected="false" showOutlineSymbols="true" defaultGridColor="true" view="normal" topLeftCell="AH1" colorId="64" zoomScale="100" zoomScaleNormal="100" zoomScalePageLayoutView="100" workbookViewId="0">
      <selection pane="topLeft" activeCell="AP6" activeCellId="0" sqref="AP6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8" width="33.62"/>
    <col collapsed="false" customWidth="true" hidden="false" outlineLevel="0" max="15" min="3" style="18" width="12.62"/>
    <col collapsed="false" customWidth="true" hidden="false" outlineLevel="0" max="16" min="16" style="18" width="8.38"/>
    <col collapsed="false" customWidth="true" hidden="false" outlineLevel="0" max="17" min="17" style="18" width="33"/>
    <col collapsed="false" customWidth="true" hidden="false" outlineLevel="0" max="33" min="18" style="18" width="11.5"/>
    <col collapsed="false" customWidth="true" hidden="false" outlineLevel="0" max="34" min="34" style="18" width="11"/>
    <col collapsed="false" customWidth="true" hidden="false" outlineLevel="0" max="35" min="35" style="18" width="33"/>
    <col collapsed="false" customWidth="true" hidden="false" outlineLevel="0" max="36" min="36" style="18" width="10.62"/>
    <col collapsed="false" customWidth="true" hidden="false" outlineLevel="0" max="40" min="37" style="18" width="11.75"/>
    <col collapsed="false" customWidth="true" hidden="false" outlineLevel="0" max="42" min="41" style="18" width="11.38"/>
    <col collapsed="false" customWidth="true" hidden="false" outlineLevel="0" max="43" min="43" style="18" width="12.88"/>
    <col collapsed="false" customWidth="true" hidden="false" outlineLevel="0" max="44" min="44" style="18" width="3.38"/>
    <col collapsed="false" customWidth="true" hidden="false" outlineLevel="0" max="45" min="45" style="18" width="28.12"/>
    <col collapsed="false" customWidth="true" hidden="false" outlineLevel="0" max="46" min="46" style="18" width="12.76"/>
    <col collapsed="false" customWidth="true" hidden="false" outlineLevel="0" max="49" min="47" style="18" width="11.75"/>
    <col collapsed="false" customWidth="true" hidden="false" outlineLevel="0" max="256" min="50" style="18" width="10.62"/>
    <col collapsed="false" customWidth="true" hidden="false" outlineLevel="0" max="1012" min="257" style="1" width="10.5"/>
  </cols>
  <sheetData>
    <row r="1" customFormat="false" ht="15" hidden="false" customHeight="true" outlineLevel="0" collapsed="false"/>
    <row r="2" s="54" customFormat="true" ht="24.75" hidden="false" customHeight="true" outlineLevel="0" collapsed="false">
      <c r="B2" s="55" t="str">
        <f aca="false">"BASE "&amp;Resumo!B5&amp;" - PLANILHA DE FORMAÇÃO DE PREÇOS"</f>
        <v>BASE CAXIAS DO SUL - PLANILHA DE FORMAÇÃO DE PREÇOS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6"/>
      <c r="Q2" s="44" t="str">
        <f aca="false">"BASE "&amp;Resumo!B5&amp;" – PLANILHA DE DISTRIBUIÇÃO DE CUSTOS POR UNIDADE"</f>
        <v>BASE CAXIAS DO SUL – PLANILHA DE DISTRIBUIÇÃO DE CUSTOS POR UNIDADE</v>
      </c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57"/>
      <c r="AI2" s="58" t="str">
        <f aca="false">"BASE "&amp;Resumo!B5&amp;" – PLANILHA RESUMO DE CUSTOS DA BASE"</f>
        <v>BASE CAXIAS DO SUL – PLANILHA RESUMO DE CUSTOS DA BASE</v>
      </c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</row>
    <row r="3" customFormat="false" ht="15" hidden="false" customHeight="true" outlineLevel="0" collapsed="false">
      <c r="B3" s="54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</row>
    <row r="4" s="35" customFormat="true" ht="19.5" hidden="false" customHeight="true" outlineLevel="0" collapsed="false">
      <c r="B4" s="47" t="s">
        <v>41</v>
      </c>
      <c r="C4" s="47" t="s">
        <v>42</v>
      </c>
      <c r="D4" s="47"/>
      <c r="E4" s="47"/>
      <c r="F4" s="47"/>
      <c r="G4" s="47"/>
      <c r="H4" s="47" t="s">
        <v>43</v>
      </c>
      <c r="I4" s="47"/>
      <c r="J4" s="47"/>
      <c r="K4" s="47"/>
      <c r="L4" s="47"/>
      <c r="M4" s="47"/>
      <c r="N4" s="47"/>
      <c r="O4" s="47" t="s">
        <v>28</v>
      </c>
      <c r="P4" s="56"/>
      <c r="Q4" s="47" t="s">
        <v>44</v>
      </c>
      <c r="R4" s="59" t="s">
        <v>45</v>
      </c>
      <c r="S4" s="59"/>
      <c r="T4" s="59"/>
      <c r="U4" s="59"/>
      <c r="V4" s="59" t="s">
        <v>46</v>
      </c>
      <c r="W4" s="59"/>
      <c r="X4" s="59"/>
      <c r="Y4" s="59"/>
      <c r="Z4" s="59" t="s">
        <v>47</v>
      </c>
      <c r="AA4" s="59"/>
      <c r="AB4" s="59"/>
      <c r="AC4" s="59"/>
      <c r="AD4" s="59" t="s">
        <v>48</v>
      </c>
      <c r="AE4" s="59"/>
      <c r="AF4" s="59"/>
      <c r="AG4" s="59"/>
      <c r="AI4" s="47" t="s">
        <v>44</v>
      </c>
      <c r="AJ4" s="60" t="s">
        <v>49</v>
      </c>
      <c r="AK4" s="60"/>
      <c r="AL4" s="60"/>
      <c r="AM4" s="60"/>
      <c r="AN4" s="60"/>
      <c r="AO4" s="60" t="s">
        <v>50</v>
      </c>
      <c r="AP4" s="60"/>
      <c r="AQ4" s="60"/>
      <c r="AR4" s="61"/>
      <c r="AS4" s="60" t="str">
        <f aca="false">"Resumo de Custos da Base "&amp;Resumo!B5</f>
        <v>Resumo de Custos da Base CAXIAS DO SUL</v>
      </c>
      <c r="AT4" s="60"/>
      <c r="AU4" s="60"/>
      <c r="AV4" s="60"/>
      <c r="AW4" s="60"/>
    </row>
    <row r="5" customFormat="false" ht="39.75" hidden="false" customHeight="true" outlineLevel="0" collapsed="false">
      <c r="B5" s="47"/>
      <c r="C5" s="47" t="s">
        <v>28</v>
      </c>
      <c r="D5" s="47" t="s">
        <v>51</v>
      </c>
      <c r="E5" s="47" t="s">
        <v>52</v>
      </c>
      <c r="F5" s="47" t="s">
        <v>53</v>
      </c>
      <c r="G5" s="47" t="s">
        <v>54</v>
      </c>
      <c r="H5" s="47" t="s">
        <v>55</v>
      </c>
      <c r="I5" s="47" t="s">
        <v>56</v>
      </c>
      <c r="J5" s="47" t="s">
        <v>57</v>
      </c>
      <c r="K5" s="47" t="s">
        <v>58</v>
      </c>
      <c r="L5" s="47" t="s">
        <v>59</v>
      </c>
      <c r="M5" s="47" t="s">
        <v>60</v>
      </c>
      <c r="N5" s="47" t="s">
        <v>61</v>
      </c>
      <c r="O5" s="47"/>
      <c r="P5" s="56"/>
      <c r="Q5" s="47"/>
      <c r="R5" s="47" t="s">
        <v>62</v>
      </c>
      <c r="S5" s="47" t="s">
        <v>63</v>
      </c>
      <c r="T5" s="47" t="s">
        <v>64</v>
      </c>
      <c r="U5" s="47" t="s">
        <v>65</v>
      </c>
      <c r="V5" s="47" t="s">
        <v>66</v>
      </c>
      <c r="W5" s="47" t="s">
        <v>67</v>
      </c>
      <c r="X5" s="47" t="s">
        <v>68</v>
      </c>
      <c r="Y5" s="47" t="s">
        <v>69</v>
      </c>
      <c r="Z5" s="47" t="s">
        <v>70</v>
      </c>
      <c r="AA5" s="47"/>
      <c r="AB5" s="47"/>
      <c r="AC5" s="47" t="n">
        <f aca="false">N17+'Base Novo Hamburgo'!N28</f>
        <v>1169.35</v>
      </c>
      <c r="AD5" s="59" t="s">
        <v>62</v>
      </c>
      <c r="AE5" s="59" t="s">
        <v>63</v>
      </c>
      <c r="AF5" s="59" t="s">
        <v>64</v>
      </c>
      <c r="AG5" s="59" t="s">
        <v>65</v>
      </c>
      <c r="AI5" s="47"/>
      <c r="AJ5" s="59" t="s">
        <v>71</v>
      </c>
      <c r="AK5" s="59" t="s">
        <v>62</v>
      </c>
      <c r="AL5" s="59" t="s">
        <v>63</v>
      </c>
      <c r="AM5" s="59" t="s">
        <v>64</v>
      </c>
      <c r="AN5" s="59" t="s">
        <v>65</v>
      </c>
      <c r="AO5" s="59" t="s">
        <v>72</v>
      </c>
      <c r="AP5" s="59" t="s">
        <v>73</v>
      </c>
      <c r="AQ5" s="59" t="s">
        <v>74</v>
      </c>
      <c r="AR5" s="57"/>
      <c r="AS5" s="59" t="s">
        <v>75</v>
      </c>
      <c r="AT5" s="59" t="s">
        <v>62</v>
      </c>
      <c r="AU5" s="59" t="s">
        <v>63</v>
      </c>
      <c r="AV5" s="59" t="s">
        <v>64</v>
      </c>
      <c r="AW5" s="59" t="s">
        <v>65</v>
      </c>
    </row>
    <row r="6" customFormat="false" ht="19.5" hidden="false" customHeight="true" outlineLevel="0" collapsed="false">
      <c r="B6" s="47"/>
      <c r="C6" s="62" t="s">
        <v>76</v>
      </c>
      <c r="D6" s="62" t="n">
        <v>1</v>
      </c>
      <c r="E6" s="62" t="n">
        <v>0.35</v>
      </c>
      <c r="F6" s="62" t="n">
        <v>0.1</v>
      </c>
      <c r="G6" s="47"/>
      <c r="H6" s="62" t="n">
        <v>1</v>
      </c>
      <c r="I6" s="62" t="n">
        <v>1.2</v>
      </c>
      <c r="J6" s="62" t="n">
        <v>2</v>
      </c>
      <c r="K6" s="62" t="n">
        <v>4</v>
      </c>
      <c r="L6" s="62" t="n">
        <v>1.1</v>
      </c>
      <c r="M6" s="62" t="n">
        <v>1.1</v>
      </c>
      <c r="N6" s="47"/>
      <c r="O6" s="47"/>
      <c r="P6" s="63"/>
      <c r="Q6" s="47"/>
      <c r="R6" s="62" t="s">
        <v>77</v>
      </c>
      <c r="S6" s="62" t="s">
        <v>78</v>
      </c>
      <c r="T6" s="62" t="s">
        <v>79</v>
      </c>
      <c r="U6" s="62" t="s">
        <v>80</v>
      </c>
      <c r="V6" s="47"/>
      <c r="W6" s="47"/>
      <c r="X6" s="47"/>
      <c r="Y6" s="47"/>
      <c r="Z6" s="37" t="s">
        <v>62</v>
      </c>
      <c r="AA6" s="37" t="s">
        <v>63</v>
      </c>
      <c r="AB6" s="37" t="s">
        <v>64</v>
      </c>
      <c r="AC6" s="37" t="s">
        <v>65</v>
      </c>
      <c r="AD6" s="59"/>
      <c r="AE6" s="59"/>
      <c r="AF6" s="59"/>
      <c r="AG6" s="59"/>
      <c r="AI6" s="47"/>
      <c r="AJ6" s="59"/>
      <c r="AK6" s="59"/>
      <c r="AL6" s="59"/>
      <c r="AM6" s="59"/>
      <c r="AN6" s="59"/>
      <c r="AO6" s="59"/>
      <c r="AP6" s="59" t="n">
        <f aca="false">72.5/27.5</f>
        <v>2.63636363636364</v>
      </c>
      <c r="AQ6" s="59"/>
      <c r="AR6" s="64"/>
      <c r="AS6" s="59"/>
      <c r="AT6" s="37" t="s">
        <v>77</v>
      </c>
      <c r="AU6" s="37" t="s">
        <v>78</v>
      </c>
      <c r="AV6" s="37" t="s">
        <v>79</v>
      </c>
      <c r="AW6" s="37" t="s">
        <v>80</v>
      </c>
    </row>
    <row r="7" s="2" customFormat="true" ht="15" hidden="false" customHeight="true" outlineLevel="0" collapsed="false">
      <c r="B7" s="65" t="s">
        <v>81</v>
      </c>
      <c r="C7" s="66" t="n">
        <f aca="false">VLOOKUP($B7,Unidades!$D$5:$N$31,6,FALSE())</f>
        <v>2811.03</v>
      </c>
      <c r="D7" s="66" t="n">
        <f aca="false">VLOOKUP($B7,Unidades!$D$5:$N$31,7,FALSE())</f>
        <v>2471.36</v>
      </c>
      <c r="E7" s="66" t="n">
        <f aca="false">VLOOKUP($B7,Unidades!$D$5:$N$31,8,FALSE())</f>
        <v>339.67</v>
      </c>
      <c r="F7" s="66" t="n">
        <f aca="false">VLOOKUP($B7,Unidades!$D$5:$N$31,9,FALSE())</f>
        <v>0</v>
      </c>
      <c r="G7" s="66" t="n">
        <f aca="false">D7+E7*$E$6+F7*$F$6</f>
        <v>2590.2445</v>
      </c>
      <c r="H7" s="67" t="n">
        <f aca="false">IF(G7&lt;750,1.5,IF(G7&lt;2000,2,IF(G7&lt;4000,3,12)))</f>
        <v>3</v>
      </c>
      <c r="I7" s="67" t="n">
        <f aca="false">$I$6*H7</f>
        <v>3.6</v>
      </c>
      <c r="J7" s="67" t="str">
        <f aca="false">VLOOKUP($B7,Unidades!$D$5:$N$31,10,FALSE())</f>
        <v>SIM</v>
      </c>
      <c r="K7" s="67" t="str">
        <f aca="false">VLOOKUP($B7,Unidades!$D$5:$N$31,11,FALSE())</f>
        <v>SIM</v>
      </c>
      <c r="L7" s="67" t="n">
        <f aca="false">$L$6*H7+(IF(J7="SIM",$J$6,0))</f>
        <v>5.3</v>
      </c>
      <c r="M7" s="67" t="n">
        <f aca="false">$M$6*H7+(IF(J7="SIM",$J$6,0))+(IF(K7="SIM",$K$6,0))</f>
        <v>9.3</v>
      </c>
      <c r="N7" s="67" t="n">
        <f aca="false">H7*12+I7*4+L7*2+M7</f>
        <v>70.3</v>
      </c>
      <c r="O7" s="68" t="n">
        <f aca="false">IF(K7="não", N7*(C$20+D$20),N7*(C$20+D$20)+(M7*+E$20))</f>
        <v>3748.3658058</v>
      </c>
      <c r="P7" s="69"/>
      <c r="Q7" s="24" t="str">
        <f aca="false">B7</f>
        <v>GEX/APS CAXIAS DO SUL</v>
      </c>
      <c r="R7" s="26" t="n">
        <f aca="false">H7*($C$20+$D$20)</f>
        <v>146.877858</v>
      </c>
      <c r="S7" s="26" t="n">
        <f aca="false">I7*($C$20+$D$20)</f>
        <v>176.2534296</v>
      </c>
      <c r="T7" s="26" t="n">
        <f aca="false">L7*($C$20+$D$20)</f>
        <v>259.4842158</v>
      </c>
      <c r="U7" s="26" t="n">
        <f aca="false">IF(K7="não",M7*($C$20+$D$20),M7*(C$20+D$20+E$20))</f>
        <v>761.8493598</v>
      </c>
      <c r="V7" s="26" t="n">
        <f aca="false">VLOOKUP(Q7,'Desl. Base Caxias do Sul'!$C$5:$S$14,13,FALSE())*($C$20+$D$20+$E$20*(VLOOKUP(Q7,'Desl. Base Caxias do Sul'!$C$5:$S$14,17,FALSE())/12))</f>
        <v>0</v>
      </c>
      <c r="W7" s="26" t="n">
        <f aca="false">VLOOKUP(Q7,'Desl. Base Caxias do Sul'!$C$5:$S$14,15,FALSE())*(2+(VLOOKUP(Q7,'Desl. Base Caxias do Sul'!$C$5:$S$14,17,FALSE())/12))</f>
        <v>0</v>
      </c>
      <c r="X7" s="26" t="n">
        <f aca="false">VLOOKUP(Q7,'Desl. Base Caxias do Sul'!$C$5:$Q$14,14,FALSE())</f>
        <v>0</v>
      </c>
      <c r="Y7" s="26" t="n">
        <f aca="false">VLOOKUP(Q7,'Desl. Base Caxias do Sul'!$C$5:$Q$14,13,FALSE())*'Desl. Base Caxias do Sul'!$E$19+'Desl. Base Caxias do Sul'!$E$20*N7/12</f>
        <v>38.4306666666667</v>
      </c>
      <c r="Z7" s="26" t="n">
        <f aca="false">(H7/$AC$5)*'Equipe Técnica'!$C$13</f>
        <v>455.52674721512</v>
      </c>
      <c r="AA7" s="26" t="n">
        <f aca="false">(I7/$AC$5)*'Equipe Técnica'!$C$13</f>
        <v>546.632096658143</v>
      </c>
      <c r="AB7" s="26" t="n">
        <f aca="false">(L7/$AC$5)*'Equipe Técnica'!$C$13</f>
        <v>804.763920080045</v>
      </c>
      <c r="AC7" s="26" t="n">
        <f aca="false">(M7/$AC$5)*'Equipe Técnica'!$C$13</f>
        <v>1412.13291636687</v>
      </c>
      <c r="AD7" s="26" t="n">
        <f aca="false">R7+(($V7+$W7+$X7+$Y7)*12/19)+$Z7</f>
        <v>626.67660521512</v>
      </c>
      <c r="AE7" s="26" t="n">
        <f aca="false">S7+(($V7+$W7+$X7+$Y7)*12/19)+$AA7</f>
        <v>747.157526258143</v>
      </c>
      <c r="AF7" s="26" t="n">
        <f aca="false">T7+(($V7+$W7+$X7+$Y7)*12/19)+$AB7</f>
        <v>1088.52013588004</v>
      </c>
      <c r="AG7" s="26" t="n">
        <f aca="false">U7+(($V7+$W7+$X7+$Y7)*12/19)+$AC7</f>
        <v>2198.25427616687</v>
      </c>
      <c r="AI7" s="24" t="str">
        <f aca="false">B7</f>
        <v>GEX/APS CAXIAS DO SUL</v>
      </c>
      <c r="AJ7" s="70" t="n">
        <f aca="false">VLOOKUP(AI7,Unidades!D$5:H$31,5,)</f>
        <v>0.2994</v>
      </c>
      <c r="AK7" s="48" t="n">
        <f aca="false">AD7*(1+$AJ7)</f>
        <v>814.303580816526</v>
      </c>
      <c r="AL7" s="48" t="n">
        <f aca="false">AE7*(1+$AJ7)</f>
        <v>970.856489619831</v>
      </c>
      <c r="AM7" s="48" t="n">
        <f aca="false">AF7*(1+$AJ7)</f>
        <v>1414.42306456253</v>
      </c>
      <c r="AN7" s="48" t="n">
        <f aca="false">AG7*(1+$AJ7)</f>
        <v>2856.41160645123</v>
      </c>
      <c r="AO7" s="48" t="n">
        <f aca="false">((AK7*12)+(AL7*4)+(AM7*2)+AN7)/12</f>
        <v>1611.69388865449</v>
      </c>
      <c r="AP7" s="48" t="n">
        <f aca="false">AO7*$AP$6</f>
        <v>4249.01116099821</v>
      </c>
      <c r="AQ7" s="48" t="n">
        <f aca="false">AO7+AP7</f>
        <v>5860.70504965271</v>
      </c>
      <c r="AR7" s="71"/>
      <c r="AS7" s="72" t="s">
        <v>82</v>
      </c>
      <c r="AT7" s="48" t="n">
        <f aca="false">AK17</f>
        <v>5726.87006752862</v>
      </c>
      <c r="AU7" s="48" t="n">
        <f aca="false">AL17</f>
        <v>6632.59743956166</v>
      </c>
      <c r="AV7" s="48" t="n">
        <f aca="false">AM17</f>
        <v>6701.5767828895</v>
      </c>
      <c r="AW7" s="48" t="n">
        <f aca="false">AN17</f>
        <v>9438.17677923274</v>
      </c>
    </row>
    <row r="8" s="2" customFormat="true" ht="15" hidden="false" customHeight="true" outlineLevel="0" collapsed="false">
      <c r="B8" s="65" t="s">
        <v>83</v>
      </c>
      <c r="C8" s="66" t="n">
        <f aca="false">VLOOKUP($B8,Unidades!$D$5:$N$31,6,FALSE())</f>
        <v>792.76</v>
      </c>
      <c r="D8" s="66" t="n">
        <f aca="false">VLOOKUP($B8,Unidades!$D$5:$N$31,7,FALSE())</f>
        <v>20.46</v>
      </c>
      <c r="E8" s="66" t="n">
        <f aca="false">VLOOKUP($B8,Unidades!$D$5:$N$31,8,FALSE())</f>
        <v>772.3</v>
      </c>
      <c r="F8" s="66" t="n">
        <f aca="false">VLOOKUP($B8,Unidades!$D$5:$N$31,9,FALSE())</f>
        <v>0</v>
      </c>
      <c r="G8" s="66" t="n">
        <f aca="false">D8+E8*$E$6+F8*$F$6</f>
        <v>290.765</v>
      </c>
      <c r="H8" s="67" t="n">
        <f aca="false">IF(G8&lt;750,1.5,IF(G8&lt;2000,2,IF(G8&lt;4000,3,12)))</f>
        <v>1.5</v>
      </c>
      <c r="I8" s="67" t="n">
        <f aca="false">$I$6*H8</f>
        <v>1.8</v>
      </c>
      <c r="J8" s="67" t="str">
        <f aca="false">VLOOKUP($B8,Unidades!$D$5:$N$31,10,FALSE())</f>
        <v>NÃO</v>
      </c>
      <c r="K8" s="67" t="str">
        <f aca="false">VLOOKUP($B8,Unidades!$D$5:$N$31,11,FALSE())</f>
        <v>NÃO</v>
      </c>
      <c r="L8" s="67" t="n">
        <f aca="false">$L$6*H8+(IF(J8="SIM",$J$6,0))</f>
        <v>1.65</v>
      </c>
      <c r="M8" s="67" t="n">
        <f aca="false">$M$6*H8+(IF(J8="SIM",$J$6,0))+(IF(K8="SIM",$K$6,0))</f>
        <v>1.65</v>
      </c>
      <c r="N8" s="67" t="n">
        <f aca="false">H8*12+I8*4+L8*2+M8</f>
        <v>30.15</v>
      </c>
      <c r="O8" s="68" t="n">
        <f aca="false">IF(K8="não", N8*(C$20+D$20),N8*(C$20+D$20)+(M8*+E$20))</f>
        <v>1476.1224729</v>
      </c>
      <c r="P8" s="69"/>
      <c r="Q8" s="24" t="str">
        <f aca="false">B8</f>
        <v>CEDOCPREV CAXIAS DO SUL</v>
      </c>
      <c r="R8" s="26" t="n">
        <f aca="false">H8*($C$20+$D$20)</f>
        <v>73.438929</v>
      </c>
      <c r="S8" s="26" t="n">
        <f aca="false">I8*($C$20+$D$20)</f>
        <v>88.1267148</v>
      </c>
      <c r="T8" s="26" t="n">
        <f aca="false">L8*($C$20+$D$20)</f>
        <v>80.7828219</v>
      </c>
      <c r="U8" s="26" t="n">
        <f aca="false">IF(K8="não",M8*($C$20+$D$20),M8*(C$20+D$20+E$20))</f>
        <v>80.7828219</v>
      </c>
      <c r="V8" s="26" t="n">
        <f aca="false">VLOOKUP(Q8,'Desl. Base Caxias do Sul'!$C$5:$S$14,13,FALSE())*($C$20+$D$20+$E$20*(VLOOKUP(Q8,'Desl. Base Caxias do Sul'!$C$5:$S$14,17,FALSE())/12))</f>
        <v>9.47942465555556</v>
      </c>
      <c r="W8" s="26" t="n">
        <f aca="false">VLOOKUP(Q8,'Desl. Base Caxias do Sul'!$C$5:$S$14,15,FALSE())*(2+(VLOOKUP(Q8,'Desl. Base Caxias do Sul'!$C$5:$S$14,17,FALSE())/12))</f>
        <v>0</v>
      </c>
      <c r="X8" s="26" t="n">
        <f aca="false">VLOOKUP(Q8,'Desl. Base Caxias do Sul'!$C$5:$Q$14,14,FALSE())</f>
        <v>0</v>
      </c>
      <c r="Y8" s="26" t="n">
        <f aca="false">VLOOKUP(Q8,'Desl. Base Caxias do Sul'!$C$5:$Q$14,13,FALSE())*'Desl. Base Caxias do Sul'!$E$19+'Desl. Base Caxias do Sul'!$E$20*N8/12</f>
        <v>26.1051666666667</v>
      </c>
      <c r="Z8" s="26" t="n">
        <f aca="false">(H8/$AC$5)*'Equipe Técnica'!$C$13</f>
        <v>227.76337360756</v>
      </c>
      <c r="AA8" s="26" t="n">
        <f aca="false">(I8/$AC$5)*'Equipe Técnica'!$C$13</f>
        <v>273.316048329072</v>
      </c>
      <c r="AB8" s="26" t="n">
        <f aca="false">(L8/$AC$5)*'Equipe Técnica'!$C$13</f>
        <v>250.539710968316</v>
      </c>
      <c r="AC8" s="26" t="n">
        <f aca="false">(M8/$AC$5)*'Equipe Técnica'!$C$13</f>
        <v>250.539710968316</v>
      </c>
      <c r="AD8" s="26" t="n">
        <f aca="false">R8+(($V8+$W8+$X8+$Y8)*12/19)+$Z8</f>
        <v>323.676781337384</v>
      </c>
      <c r="AE8" s="26" t="n">
        <f aca="false">S8+(($V8+$W8+$X8+$Y8)*12/19)+$AA8</f>
        <v>383.917241858896</v>
      </c>
      <c r="AF8" s="26" t="n">
        <f aca="false">T8+(($V8+$W8+$X8+$Y8)*12/19)+$AB8</f>
        <v>353.79701159814</v>
      </c>
      <c r="AG8" s="26" t="n">
        <f aca="false">U8+(($V8+$W8+$X8+$Y8)*12/19)+$AC8</f>
        <v>353.79701159814</v>
      </c>
      <c r="AI8" s="24" t="str">
        <f aca="false">B8</f>
        <v>CEDOCPREV CAXIAS DO SUL</v>
      </c>
      <c r="AJ8" s="70" t="n">
        <f aca="false">VLOOKUP(AI8,Unidades!D$5:H$31,5,)</f>
        <v>0.2994</v>
      </c>
      <c r="AK8" s="48" t="n">
        <f aca="false">AD8*(1+$AJ8)</f>
        <v>420.585609669797</v>
      </c>
      <c r="AL8" s="48" t="n">
        <f aca="false">AE8*(1+$AJ8)</f>
        <v>498.86206407145</v>
      </c>
      <c r="AM8" s="48" t="n">
        <f aca="false">AF8*(1+$AJ8)</f>
        <v>459.723836870624</v>
      </c>
      <c r="AN8" s="48" t="n">
        <f aca="false">AG8*(1+$AJ8)</f>
        <v>459.723836870624</v>
      </c>
      <c r="AO8" s="48" t="n">
        <f aca="false">((AK8*12)+(AL8*4)+(AM8*2)+AN8)/12</f>
        <v>701.803923577936</v>
      </c>
      <c r="AP8" s="48" t="n">
        <f aca="false">AO8*$AP$6</f>
        <v>1850.2103439782</v>
      </c>
      <c r="AQ8" s="48" t="n">
        <f aca="false">AO8+AP8</f>
        <v>2552.01426755613</v>
      </c>
      <c r="AR8" s="71"/>
      <c r="AS8" s="72" t="s">
        <v>84</v>
      </c>
      <c r="AT8" s="48" t="n">
        <f aca="false">AT7*12</f>
        <v>68722.4408103435</v>
      </c>
      <c r="AU8" s="48" t="n">
        <f aca="false">AU7*4</f>
        <v>26530.3897582466</v>
      </c>
      <c r="AV8" s="48" t="n">
        <f aca="false">AV7*2</f>
        <v>13403.153565779</v>
      </c>
      <c r="AW8" s="48" t="n">
        <f aca="false">AW7</f>
        <v>9438.17677923274</v>
      </c>
    </row>
    <row r="9" s="2" customFormat="true" ht="15" hidden="false" customHeight="true" outlineLevel="0" collapsed="false">
      <c r="B9" s="65" t="s">
        <v>85</v>
      </c>
      <c r="C9" s="66" t="n">
        <f aca="false">VLOOKUP($B9,Unidades!$D$5:$N$31,6,FALSE())</f>
        <v>226.81</v>
      </c>
      <c r="D9" s="66" t="n">
        <f aca="false">VLOOKUP($B9,Unidades!$D$5:$N$31,7,FALSE())</f>
        <v>0</v>
      </c>
      <c r="E9" s="66" t="n">
        <f aca="false">VLOOKUP($B9,Unidades!$D$5:$N$31,8,FALSE())</f>
        <v>0</v>
      </c>
      <c r="F9" s="66" t="n">
        <f aca="false">VLOOKUP($B9,Unidades!$D$5:$N$31,9,FALSE())</f>
        <v>226.81</v>
      </c>
      <c r="G9" s="66" t="n">
        <f aca="false">D9+E9*$E$6+F9*$F$6</f>
        <v>22.681</v>
      </c>
      <c r="H9" s="67" t="n">
        <f aca="false">IF(G9&lt;750,1.5,IF(G9&lt;2000,2,IF(G9&lt;4000,3,12)))</f>
        <v>1.5</v>
      </c>
      <c r="I9" s="67" t="n">
        <f aca="false">$I$6*H9</f>
        <v>1.8</v>
      </c>
      <c r="J9" s="67" t="str">
        <f aca="false">VLOOKUP($B9,Unidades!$D$5:$N$31,10,FALSE())</f>
        <v>NÃO</v>
      </c>
      <c r="K9" s="67" t="str">
        <f aca="false">VLOOKUP($B9,Unidades!$D$5:$N$31,11,FALSE())</f>
        <v>NÃO</v>
      </c>
      <c r="L9" s="67" t="n">
        <f aca="false">$L$6*H9+(IF(J9="SIM",$J$6,0))</f>
        <v>1.65</v>
      </c>
      <c r="M9" s="67" t="n">
        <f aca="false">$M$6*H9+(IF(J9="SIM",$J$6,0))+(IF(K9="SIM",$K$6,0))</f>
        <v>1.65</v>
      </c>
      <c r="N9" s="67" t="n">
        <f aca="false">H9*12+I9*4+L9*2+M9</f>
        <v>30.15</v>
      </c>
      <c r="O9" s="68" t="n">
        <f aca="false">IF(K9="não", N9*(C$20+D$20),N9*(C$20+D$20)+(M9*+E$20))</f>
        <v>1476.1224729</v>
      </c>
      <c r="P9" s="69"/>
      <c r="Q9" s="24" t="str">
        <f aca="false">B9</f>
        <v>ARQUIVO RUA MARQUÊS DO HERVAL</v>
      </c>
      <c r="R9" s="26" t="n">
        <f aca="false">H9*($C$20+$D$20)</f>
        <v>73.438929</v>
      </c>
      <c r="S9" s="26" t="n">
        <f aca="false">I9*($C$20+$D$20)</f>
        <v>88.1267148</v>
      </c>
      <c r="T9" s="26" t="n">
        <f aca="false">L9*($C$20+$D$20)</f>
        <v>80.7828219</v>
      </c>
      <c r="U9" s="26" t="n">
        <f aca="false">IF(K9="não",M9*($C$20+$D$20),M9*(C$20+D$20+E$20))</f>
        <v>80.7828219</v>
      </c>
      <c r="V9" s="26" t="n">
        <f aca="false">VLOOKUP(Q9,'Desl. Base Caxias do Sul'!$C$5:$S$14,13,FALSE())*($C$20+$D$20+$E$20*(VLOOKUP(Q9,'Desl. Base Caxias do Sul'!$C$5:$S$14,17,FALSE())/12))</f>
        <v>17.54374415</v>
      </c>
      <c r="W9" s="26" t="n">
        <f aca="false">VLOOKUP(Q9,'Desl. Base Caxias do Sul'!$C$5:$S$14,15,FALSE())*(2+(VLOOKUP(Q9,'Desl. Base Caxias do Sul'!$C$5:$S$14,17,FALSE())/12))</f>
        <v>0</v>
      </c>
      <c r="X9" s="26" t="n">
        <f aca="false">VLOOKUP(Q9,'Desl. Base Caxias do Sul'!$C$5:$Q$14,14,FALSE())</f>
        <v>0</v>
      </c>
      <c r="Y9" s="26" t="n">
        <f aca="false">VLOOKUP(Q9,'Desl. Base Caxias do Sul'!$C$5:$Q$14,13,FALSE())*'Desl. Base Caxias do Sul'!$E$19+'Desl. Base Caxias do Sul'!$E$20*N9/12</f>
        <v>35.2909166666667</v>
      </c>
      <c r="Z9" s="26" t="n">
        <f aca="false">(H9/$AC$5)*'Equipe Técnica'!$C$13</f>
        <v>227.76337360756</v>
      </c>
      <c r="AA9" s="26" t="n">
        <f aca="false">(I9/$AC$5)*'Equipe Técnica'!$C$13</f>
        <v>273.316048329072</v>
      </c>
      <c r="AB9" s="26" t="n">
        <f aca="false">(L9/$AC$5)*'Equipe Técnica'!$C$13</f>
        <v>250.539710968316</v>
      </c>
      <c r="AC9" s="26" t="n">
        <f aca="false">(M9/$AC$5)*'Equipe Técnica'!$C$13</f>
        <v>250.539710968316</v>
      </c>
      <c r="AD9" s="26" t="n">
        <f aca="false">R9+(($V9+$W9+$X9+$Y9)*12/19)+$Z9</f>
        <v>334.571562070718</v>
      </c>
      <c r="AE9" s="26" t="n">
        <f aca="false">S9+(($V9+$W9+$X9+$Y9)*12/19)+$AA9</f>
        <v>394.81202259223</v>
      </c>
      <c r="AF9" s="26" t="n">
        <f aca="false">T9+(($V9+$W9+$X9+$Y9)*12/19)+$AB9</f>
        <v>364.691792331474</v>
      </c>
      <c r="AG9" s="26" t="n">
        <f aca="false">U9+(($V9+$W9+$X9+$Y9)*12/19)+$AC9</f>
        <v>364.691792331474</v>
      </c>
      <c r="AI9" s="24" t="str">
        <f aca="false">B9</f>
        <v>ARQUIVO RUA MARQUÊS DO HERVAL</v>
      </c>
      <c r="AJ9" s="70" t="n">
        <f aca="false">VLOOKUP(AI9,Unidades!D$5:H$31,5,)</f>
        <v>0.2994</v>
      </c>
      <c r="AK9" s="48" t="n">
        <f aca="false">AD9*(1+$AJ9)</f>
        <v>434.74228775469</v>
      </c>
      <c r="AL9" s="48" t="n">
        <f aca="false">AE9*(1+$AJ9)</f>
        <v>513.018742156343</v>
      </c>
      <c r="AM9" s="48" t="n">
        <f aca="false">AF9*(1+$AJ9)</f>
        <v>473.880514955517</v>
      </c>
      <c r="AN9" s="48" t="n">
        <f aca="false">AG9*(1+$AJ9)</f>
        <v>473.880514955517</v>
      </c>
      <c r="AO9" s="48" t="n">
        <f aca="false">((AK9*12)+(AL9*4)+(AM9*2)+AN9)/12</f>
        <v>724.218663879017</v>
      </c>
      <c r="AP9" s="48" t="n">
        <f aca="false">AO9*$AP$6</f>
        <v>1909.3037502265</v>
      </c>
      <c r="AQ9" s="48" t="n">
        <f aca="false">AO9+AP9</f>
        <v>2633.52241410552</v>
      </c>
      <c r="AR9" s="71"/>
      <c r="AS9" s="71"/>
      <c r="AT9" s="73"/>
      <c r="AU9" s="73"/>
      <c r="AV9" s="73"/>
      <c r="AW9" s="73"/>
    </row>
    <row r="10" s="56" customFormat="true" ht="15" hidden="false" customHeight="true" outlineLevel="0" collapsed="false">
      <c r="A10" s="2"/>
      <c r="B10" s="65" t="s">
        <v>86</v>
      </c>
      <c r="C10" s="66" t="n">
        <f aca="false">VLOOKUP($B10,Unidades!$D$5:$N$31,6,FALSE())</f>
        <v>334.4</v>
      </c>
      <c r="D10" s="66" t="n">
        <f aca="false">VLOOKUP($B10,Unidades!$D$5:$N$31,7,FALSE())</f>
        <v>296</v>
      </c>
      <c r="E10" s="66" t="n">
        <f aca="false">VLOOKUP($B10,Unidades!$D$5:$N$31,8,FALSE())</f>
        <v>38.4</v>
      </c>
      <c r="F10" s="66" t="n">
        <f aca="false">VLOOKUP($B10,Unidades!$D$5:$N$31,9,FALSE())</f>
        <v>0</v>
      </c>
      <c r="G10" s="66" t="n">
        <f aca="false">D10+E10*$E$6+F10*$F$6</f>
        <v>309.44</v>
      </c>
      <c r="H10" s="67" t="n">
        <f aca="false">IF(G10&lt;750,1.5,IF(G10&lt;2000,2,IF(G10&lt;4000,3,12)))</f>
        <v>1.5</v>
      </c>
      <c r="I10" s="67" t="n">
        <f aca="false">$I$6*H10</f>
        <v>1.8</v>
      </c>
      <c r="J10" s="67" t="str">
        <f aca="false">VLOOKUP($B10,Unidades!$D$5:$N$31,10,FALSE())</f>
        <v>NÃO</v>
      </c>
      <c r="K10" s="67" t="str">
        <f aca="false">VLOOKUP($B10,Unidades!$D$5:$N$31,11,FALSE())</f>
        <v>NÃO</v>
      </c>
      <c r="L10" s="67" t="n">
        <f aca="false">$L$6*H10+(IF(J10="SIM",$J$6,0))</f>
        <v>1.65</v>
      </c>
      <c r="M10" s="67" t="n">
        <f aca="false">$M$6*H10+(IF(J10="SIM",$J$6,0))+(IF(K10="SIM",$K$6,0))</f>
        <v>1.65</v>
      </c>
      <c r="N10" s="67" t="n">
        <f aca="false">H10*12+I10*4+L10*2+M10</f>
        <v>30.15</v>
      </c>
      <c r="O10" s="68" t="n">
        <f aca="false">IF(K10="não", N10*(C$20+D$20),N10*(C$20+D$20)+(M10*+E$20))</f>
        <v>1476.1224729</v>
      </c>
      <c r="P10" s="69"/>
      <c r="Q10" s="24" t="str">
        <f aca="false">B10</f>
        <v>APS FLORES DA CUNHA</v>
      </c>
      <c r="R10" s="26" t="n">
        <f aca="false">H10*($C$20+$D$20)</f>
        <v>73.438929</v>
      </c>
      <c r="S10" s="26" t="n">
        <f aca="false">I10*($C$20+$D$20)</f>
        <v>88.1267148</v>
      </c>
      <c r="T10" s="26" t="n">
        <f aca="false">L10*($C$20+$D$20)</f>
        <v>80.7828219</v>
      </c>
      <c r="U10" s="26" t="n">
        <f aca="false">IF(K10="não",M10*($C$20+$D$20),M10*(C$20+D$20+E$20))</f>
        <v>80.7828219</v>
      </c>
      <c r="V10" s="26" t="n">
        <f aca="false">VLOOKUP(Q10,'Desl. Base Caxias do Sul'!$C$5:$S$14,13,FALSE())*($C$20+$D$20+$E$20*(VLOOKUP(Q10,'Desl. Base Caxias do Sul'!$C$5:$S$14,17,FALSE())/12))</f>
        <v>17.54374415</v>
      </c>
      <c r="W10" s="26" t="n">
        <f aca="false">VLOOKUP(Q10,'Desl. Base Caxias do Sul'!$C$5:$S$14,15,FALSE())*(2+(VLOOKUP(Q10,'Desl. Base Caxias do Sul'!$C$5:$S$14,17,FALSE())/12))</f>
        <v>0</v>
      </c>
      <c r="X10" s="26" t="n">
        <f aca="false">VLOOKUP(Q10,'Desl. Base Caxias do Sul'!$C$5:$Q$14,14,FALSE())</f>
        <v>0</v>
      </c>
      <c r="Y10" s="26" t="n">
        <f aca="false">VLOOKUP(Q10,'Desl. Base Caxias do Sul'!$C$5:$Q$14,13,FALSE())*'Desl. Base Caxias do Sul'!$E$19+'Desl. Base Caxias do Sul'!$E$20*N10/12</f>
        <v>35.2909166666667</v>
      </c>
      <c r="Z10" s="26" t="n">
        <f aca="false">(H10/$AC$5)*'Equipe Técnica'!$C$13</f>
        <v>227.76337360756</v>
      </c>
      <c r="AA10" s="26" t="n">
        <f aca="false">(I10/$AC$5)*'Equipe Técnica'!$C$13</f>
        <v>273.316048329072</v>
      </c>
      <c r="AB10" s="26" t="n">
        <f aca="false">(L10/$AC$5)*'Equipe Técnica'!$C$13</f>
        <v>250.539710968316</v>
      </c>
      <c r="AC10" s="26" t="n">
        <f aca="false">(M10/$AC$5)*'Equipe Técnica'!$C$13</f>
        <v>250.539710968316</v>
      </c>
      <c r="AD10" s="26" t="n">
        <f aca="false">R10+(($V10+$W10+$X10+$Y10)*12/19)+$Z10</f>
        <v>334.571562070718</v>
      </c>
      <c r="AE10" s="26" t="n">
        <f aca="false">S10+(($V10+$W10+$X10+$Y10)*12/19)+$AA10</f>
        <v>394.81202259223</v>
      </c>
      <c r="AF10" s="26" t="n">
        <f aca="false">T10+(($V10+$W10+$X10+$Y10)*12/19)+$AB10</f>
        <v>364.691792331474</v>
      </c>
      <c r="AG10" s="26" t="n">
        <f aca="false">U10+(($V10+$W10+$X10+$Y10)*12/19)+$AC10</f>
        <v>364.691792331474</v>
      </c>
      <c r="AH10" s="2"/>
      <c r="AI10" s="24" t="str">
        <f aca="false">B10</f>
        <v>APS FLORES DA CUNHA</v>
      </c>
      <c r="AJ10" s="70" t="n">
        <f aca="false">VLOOKUP(AI10,Unidades!D$5:H$31,5,)</f>
        <v>0.2707</v>
      </c>
      <c r="AK10" s="48" t="n">
        <f aca="false">AD10*(1+$AJ10)</f>
        <v>425.140083923261</v>
      </c>
      <c r="AL10" s="48" t="n">
        <f aca="false">AE10*(1+$AJ10)</f>
        <v>501.687637107946</v>
      </c>
      <c r="AM10" s="48" t="n">
        <f aca="false">AF10*(1+$AJ10)</f>
        <v>463.413860515604</v>
      </c>
      <c r="AN10" s="48" t="n">
        <f aca="false">AG10*(1+$AJ10)</f>
        <v>463.413860515604</v>
      </c>
      <c r="AO10" s="48" t="n">
        <f aca="false">((AK10*12)+(AL10*4)+(AM10*2)+AN10)/12</f>
        <v>708.222761421477</v>
      </c>
      <c r="AP10" s="48" t="n">
        <f aca="false">AO10*$AP$6</f>
        <v>1867.13273465662</v>
      </c>
      <c r="AQ10" s="48" t="n">
        <f aca="false">AO10+AP10</f>
        <v>2575.3554960781</v>
      </c>
      <c r="AR10" s="71"/>
      <c r="AS10" s="74" t="s">
        <v>72</v>
      </c>
      <c r="AT10" s="48" t="n">
        <f aca="false">(SUM(AT8:AW8))/12</f>
        <v>9841.18007613349</v>
      </c>
      <c r="AU10" s="48"/>
      <c r="AV10" s="73"/>
      <c r="AW10" s="73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  <c r="IW10" s="2"/>
      <c r="IX10" s="2"/>
      <c r="IY10" s="2"/>
      <c r="IZ10" s="2"/>
      <c r="JA10" s="2"/>
      <c r="JB10" s="2"/>
      <c r="JC10" s="2"/>
      <c r="JD10" s="2"/>
      <c r="JE10" s="2"/>
      <c r="JF10" s="2"/>
      <c r="JG10" s="2"/>
      <c r="JH10" s="2"/>
      <c r="JI10" s="2"/>
      <c r="JJ10" s="2"/>
      <c r="JK10" s="2"/>
      <c r="JL10" s="2"/>
      <c r="JM10" s="2"/>
      <c r="JN10" s="2"/>
      <c r="JO10" s="2"/>
      <c r="JP10" s="2"/>
      <c r="JQ10" s="2"/>
      <c r="JR10" s="2"/>
      <c r="JS10" s="2"/>
      <c r="JT10" s="2"/>
      <c r="JU10" s="2"/>
      <c r="JV10" s="2"/>
      <c r="JW10" s="2"/>
      <c r="JX10" s="2"/>
      <c r="JY10" s="2"/>
      <c r="JZ10" s="2"/>
      <c r="KA10" s="2"/>
      <c r="KB10" s="2"/>
      <c r="KC10" s="2"/>
      <c r="KD10" s="2"/>
      <c r="KE10" s="2"/>
      <c r="KF10" s="2"/>
      <c r="KG10" s="2"/>
      <c r="KH10" s="2"/>
      <c r="KI10" s="2"/>
      <c r="KJ10" s="2"/>
      <c r="KK10" s="2"/>
      <c r="KL10" s="2"/>
      <c r="KM10" s="2"/>
      <c r="KN10" s="2"/>
      <c r="KO10" s="2"/>
      <c r="KP10" s="2"/>
      <c r="KQ10" s="2"/>
      <c r="KR10" s="2"/>
      <c r="KS10" s="2"/>
      <c r="KT10" s="2"/>
      <c r="KU10" s="2"/>
      <c r="KV10" s="2"/>
      <c r="KW10" s="2"/>
      <c r="KX10" s="2"/>
      <c r="KY10" s="2"/>
      <c r="KZ10" s="2"/>
      <c r="LA10" s="2"/>
      <c r="LB10" s="2"/>
      <c r="LC10" s="2"/>
      <c r="LD10" s="2"/>
      <c r="LE10" s="2"/>
      <c r="LF10" s="2"/>
      <c r="LG10" s="2"/>
      <c r="LH10" s="2"/>
      <c r="LI10" s="2"/>
      <c r="LJ10" s="2"/>
      <c r="LK10" s="2"/>
      <c r="LL10" s="2"/>
      <c r="LM10" s="2"/>
      <c r="LN10" s="2"/>
      <c r="LO10" s="2"/>
      <c r="LP10" s="2"/>
      <c r="LQ10" s="2"/>
      <c r="LR10" s="2"/>
      <c r="LS10" s="2"/>
      <c r="LT10" s="2"/>
      <c r="LU10" s="2"/>
      <c r="LV10" s="2"/>
      <c r="LW10" s="2"/>
      <c r="LX10" s="2"/>
      <c r="LY10" s="2"/>
      <c r="LZ10" s="2"/>
      <c r="MA10" s="2"/>
      <c r="MB10" s="2"/>
      <c r="MC10" s="2"/>
      <c r="MD10" s="2"/>
      <c r="ME10" s="2"/>
      <c r="MF10" s="2"/>
      <c r="MG10" s="2"/>
      <c r="MH10" s="2"/>
      <c r="MI10" s="2"/>
      <c r="MJ10" s="2"/>
      <c r="MK10" s="2"/>
      <c r="ML10" s="2"/>
      <c r="MM10" s="2"/>
      <c r="MN10" s="2"/>
      <c r="MO10" s="2"/>
      <c r="MP10" s="2"/>
      <c r="MQ10" s="2"/>
      <c r="MR10" s="2"/>
      <c r="MS10" s="2"/>
      <c r="MT10" s="2"/>
      <c r="MU10" s="2"/>
      <c r="MV10" s="2"/>
      <c r="MW10" s="2"/>
      <c r="MX10" s="2"/>
      <c r="MY10" s="2"/>
      <c r="MZ10" s="2"/>
      <c r="NA10" s="2"/>
      <c r="NB10" s="2"/>
      <c r="NC10" s="2"/>
      <c r="ND10" s="2"/>
      <c r="NE10" s="2"/>
      <c r="NF10" s="2"/>
      <c r="NG10" s="2"/>
      <c r="NH10" s="2"/>
      <c r="NI10" s="2"/>
      <c r="NJ10" s="2"/>
      <c r="NK10" s="2"/>
      <c r="NL10" s="2"/>
      <c r="NM10" s="2"/>
      <c r="NN10" s="2"/>
      <c r="NO10" s="2"/>
      <c r="NP10" s="2"/>
      <c r="NQ10" s="2"/>
      <c r="NR10" s="2"/>
      <c r="NS10" s="2"/>
      <c r="NT10" s="2"/>
      <c r="NU10" s="2"/>
      <c r="NV10" s="2"/>
      <c r="NW10" s="2"/>
      <c r="NX10" s="2"/>
      <c r="NY10" s="2"/>
      <c r="NZ10" s="2"/>
      <c r="OA10" s="2"/>
      <c r="OB10" s="2"/>
      <c r="OC10" s="2"/>
      <c r="OD10" s="2"/>
      <c r="OE10" s="2"/>
      <c r="OF10" s="2"/>
      <c r="OG10" s="2"/>
      <c r="OH10" s="2"/>
      <c r="OI10" s="2"/>
      <c r="OJ10" s="2"/>
      <c r="OK10" s="2"/>
      <c r="OL10" s="2"/>
      <c r="OM10" s="2"/>
      <c r="ON10" s="2"/>
      <c r="OO10" s="2"/>
      <c r="OP10" s="2"/>
      <c r="OQ10" s="2"/>
      <c r="OR10" s="2"/>
      <c r="OS10" s="2"/>
      <c r="OT10" s="2"/>
      <c r="OU10" s="2"/>
      <c r="OV10" s="2"/>
      <c r="OW10" s="2"/>
      <c r="OX10" s="2"/>
      <c r="OY10" s="2"/>
      <c r="OZ10" s="2"/>
      <c r="PA10" s="2"/>
      <c r="PB10" s="2"/>
      <c r="PC10" s="2"/>
      <c r="PD10" s="2"/>
      <c r="PE10" s="2"/>
      <c r="PF10" s="2"/>
      <c r="PG10" s="2"/>
      <c r="PH10" s="2"/>
      <c r="PI10" s="2"/>
      <c r="PJ10" s="2"/>
      <c r="PK10" s="2"/>
      <c r="PL10" s="2"/>
      <c r="PM10" s="2"/>
      <c r="PN10" s="2"/>
      <c r="PO10" s="2"/>
      <c r="PP10" s="2"/>
      <c r="PQ10" s="2"/>
      <c r="PR10" s="2"/>
      <c r="PS10" s="2"/>
      <c r="PT10" s="2"/>
      <c r="PU10" s="2"/>
      <c r="PV10" s="2"/>
      <c r="PW10" s="2"/>
      <c r="PX10" s="2"/>
      <c r="PY10" s="2"/>
      <c r="PZ10" s="2"/>
      <c r="QA10" s="2"/>
      <c r="QB10" s="2"/>
      <c r="QC10" s="2"/>
      <c r="QD10" s="2"/>
      <c r="QE10" s="2"/>
      <c r="QF10" s="2"/>
      <c r="QG10" s="2"/>
      <c r="QH10" s="2"/>
      <c r="QI10" s="2"/>
      <c r="QJ10" s="2"/>
      <c r="QK10" s="2"/>
      <c r="QL10" s="2"/>
      <c r="QM10" s="2"/>
      <c r="QN10" s="2"/>
      <c r="QO10" s="2"/>
      <c r="QP10" s="2"/>
      <c r="QQ10" s="2"/>
      <c r="QR10" s="2"/>
      <c r="QS10" s="2"/>
      <c r="QT10" s="2"/>
      <c r="QU10" s="2"/>
      <c r="QV10" s="2"/>
      <c r="QW10" s="2"/>
      <c r="QX10" s="2"/>
      <c r="QY10" s="2"/>
      <c r="QZ10" s="2"/>
      <c r="RA10" s="2"/>
      <c r="RB10" s="2"/>
      <c r="RC10" s="2"/>
      <c r="RD10" s="2"/>
      <c r="RE10" s="2"/>
      <c r="RF10" s="2"/>
      <c r="RG10" s="2"/>
      <c r="RH10" s="2"/>
      <c r="RI10" s="2"/>
      <c r="RJ10" s="2"/>
      <c r="RK10" s="2"/>
      <c r="RL10" s="2"/>
      <c r="RM10" s="2"/>
      <c r="RN10" s="2"/>
      <c r="RO10" s="2"/>
      <c r="RP10" s="2"/>
      <c r="RQ10" s="2"/>
      <c r="RR10" s="2"/>
      <c r="RS10" s="2"/>
      <c r="RT10" s="2"/>
      <c r="RU10" s="2"/>
      <c r="RV10" s="2"/>
      <c r="RW10" s="2"/>
      <c r="RX10" s="2"/>
      <c r="RY10" s="2"/>
      <c r="RZ10" s="2"/>
      <c r="SA10" s="2"/>
      <c r="SB10" s="2"/>
      <c r="SC10" s="2"/>
      <c r="SD10" s="2"/>
      <c r="SE10" s="2"/>
      <c r="SF10" s="2"/>
      <c r="SG10" s="2"/>
      <c r="SH10" s="2"/>
      <c r="SI10" s="2"/>
      <c r="SJ10" s="2"/>
      <c r="SK10" s="2"/>
      <c r="SL10" s="2"/>
      <c r="SM10" s="2"/>
      <c r="SN10" s="2"/>
      <c r="SO10" s="2"/>
      <c r="SP10" s="2"/>
      <c r="SQ10" s="2"/>
      <c r="SR10" s="2"/>
      <c r="SS10" s="2"/>
      <c r="ST10" s="2"/>
      <c r="SU10" s="2"/>
      <c r="SV10" s="2"/>
      <c r="SW10" s="2"/>
      <c r="SX10" s="2"/>
      <c r="SY10" s="2"/>
      <c r="SZ10" s="2"/>
      <c r="TA10" s="2"/>
      <c r="TB10" s="2"/>
      <c r="TC10" s="2"/>
      <c r="TD10" s="2"/>
      <c r="TE10" s="2"/>
      <c r="TF10" s="2"/>
      <c r="TG10" s="2"/>
      <c r="TH10" s="2"/>
      <c r="TI10" s="2"/>
      <c r="TJ10" s="2"/>
      <c r="TK10" s="2"/>
      <c r="TL10" s="2"/>
      <c r="TM10" s="2"/>
      <c r="TN10" s="2"/>
      <c r="TO10" s="2"/>
      <c r="TP10" s="2"/>
      <c r="TQ10" s="2"/>
      <c r="TR10" s="2"/>
      <c r="TS10" s="2"/>
      <c r="TT10" s="2"/>
      <c r="TU10" s="2"/>
      <c r="TV10" s="2"/>
      <c r="TW10" s="2"/>
      <c r="TX10" s="2"/>
      <c r="TY10" s="2"/>
      <c r="TZ10" s="2"/>
      <c r="UA10" s="2"/>
      <c r="UB10" s="2"/>
      <c r="UC10" s="2"/>
      <c r="UD10" s="2"/>
      <c r="UE10" s="2"/>
      <c r="UF10" s="2"/>
      <c r="UG10" s="2"/>
      <c r="UH10" s="2"/>
      <c r="UI10" s="2"/>
      <c r="UJ10" s="2"/>
      <c r="UK10" s="2"/>
      <c r="UL10" s="2"/>
      <c r="UM10" s="2"/>
      <c r="UN10" s="2"/>
      <c r="UO10" s="2"/>
      <c r="UP10" s="2"/>
      <c r="UQ10" s="2"/>
      <c r="UR10" s="2"/>
      <c r="US10" s="2"/>
      <c r="UT10" s="2"/>
      <c r="UU10" s="2"/>
      <c r="UV10" s="2"/>
      <c r="UW10" s="2"/>
      <c r="UX10" s="2"/>
      <c r="UY10" s="2"/>
      <c r="UZ10" s="2"/>
      <c r="VA10" s="2"/>
      <c r="VB10" s="2"/>
      <c r="VC10" s="2"/>
      <c r="VD10" s="2"/>
      <c r="VE10" s="2"/>
      <c r="VF10" s="2"/>
      <c r="VG10" s="2"/>
      <c r="VH10" s="2"/>
      <c r="VI10" s="2"/>
      <c r="VJ10" s="2"/>
      <c r="VK10" s="2"/>
      <c r="VL10" s="2"/>
      <c r="VM10" s="2"/>
      <c r="VN10" s="2"/>
      <c r="VO10" s="2"/>
      <c r="VP10" s="2"/>
      <c r="VQ10" s="2"/>
      <c r="VR10" s="2"/>
      <c r="VS10" s="2"/>
      <c r="VT10" s="2"/>
      <c r="VU10" s="2"/>
      <c r="VV10" s="2"/>
      <c r="VW10" s="2"/>
      <c r="VX10" s="2"/>
      <c r="VY10" s="2"/>
      <c r="VZ10" s="2"/>
      <c r="WA10" s="2"/>
      <c r="WB10" s="2"/>
      <c r="WC10" s="2"/>
      <c r="WD10" s="2"/>
      <c r="WE10" s="2"/>
      <c r="WF10" s="2"/>
      <c r="WG10" s="2"/>
      <c r="WH10" s="2"/>
      <c r="WI10" s="2"/>
      <c r="WJ10" s="2"/>
      <c r="WK10" s="2"/>
      <c r="WL10" s="2"/>
      <c r="WM10" s="2"/>
      <c r="WN10" s="2"/>
      <c r="WO10" s="2"/>
      <c r="WP10" s="2"/>
      <c r="WQ10" s="2"/>
      <c r="WR10" s="2"/>
      <c r="WS10" s="2"/>
      <c r="WT10" s="2"/>
      <c r="WU10" s="2"/>
      <c r="WV10" s="2"/>
      <c r="WW10" s="2"/>
      <c r="WX10" s="2"/>
      <c r="WY10" s="2"/>
      <c r="WZ10" s="2"/>
      <c r="XA10" s="2"/>
      <c r="XB10" s="2"/>
      <c r="XC10" s="2"/>
      <c r="XD10" s="2"/>
      <c r="XE10" s="2"/>
      <c r="XF10" s="2"/>
      <c r="XG10" s="2"/>
      <c r="XH10" s="2"/>
      <c r="XI10" s="2"/>
      <c r="XJ10" s="2"/>
      <c r="XK10" s="2"/>
      <c r="XL10" s="2"/>
      <c r="XM10" s="2"/>
      <c r="XN10" s="2"/>
      <c r="XO10" s="2"/>
      <c r="XP10" s="2"/>
      <c r="XQ10" s="2"/>
      <c r="XR10" s="2"/>
      <c r="XS10" s="2"/>
      <c r="XT10" s="2"/>
      <c r="XU10" s="2"/>
      <c r="XV10" s="2"/>
      <c r="XW10" s="2"/>
      <c r="XX10" s="2"/>
      <c r="XY10" s="2"/>
      <c r="XZ10" s="2"/>
      <c r="YA10" s="2"/>
      <c r="YB10" s="2"/>
      <c r="YC10" s="2"/>
      <c r="YD10" s="2"/>
      <c r="YE10" s="2"/>
      <c r="YF10" s="2"/>
      <c r="YG10" s="2"/>
      <c r="YH10" s="2"/>
      <c r="YI10" s="2"/>
      <c r="YJ10" s="2"/>
      <c r="YK10" s="2"/>
      <c r="YL10" s="2"/>
      <c r="YM10" s="2"/>
      <c r="YN10" s="2"/>
      <c r="YO10" s="2"/>
      <c r="YP10" s="2"/>
      <c r="YQ10" s="2"/>
      <c r="YR10" s="2"/>
      <c r="YS10" s="2"/>
      <c r="YT10" s="2"/>
      <c r="YU10" s="2"/>
      <c r="YV10" s="2"/>
      <c r="YW10" s="2"/>
      <c r="YX10" s="2"/>
      <c r="YY10" s="2"/>
      <c r="YZ10" s="2"/>
      <c r="ZA10" s="2"/>
      <c r="ZB10" s="2"/>
      <c r="ZC10" s="2"/>
      <c r="ZD10" s="2"/>
      <c r="ZE10" s="2"/>
      <c r="ZF10" s="2"/>
      <c r="ZG10" s="2"/>
      <c r="ZH10" s="2"/>
      <c r="ZI10" s="2"/>
      <c r="ZJ10" s="2"/>
      <c r="ZK10" s="2"/>
      <c r="ZL10" s="2"/>
      <c r="ZM10" s="2"/>
      <c r="ZN10" s="2"/>
      <c r="ZO10" s="2"/>
      <c r="ZP10" s="2"/>
      <c r="ZQ10" s="2"/>
      <c r="ZR10" s="2"/>
      <c r="ZS10" s="2"/>
      <c r="ZT10" s="2"/>
      <c r="ZU10" s="2"/>
      <c r="ZV10" s="2"/>
      <c r="ZW10" s="2"/>
      <c r="ZX10" s="2"/>
      <c r="ZY10" s="2"/>
      <c r="ZZ10" s="2"/>
      <c r="AAA10" s="2"/>
      <c r="AAB10" s="2"/>
      <c r="AAC10" s="2"/>
      <c r="AAD10" s="2"/>
      <c r="AAE10" s="2"/>
      <c r="AAF10" s="2"/>
      <c r="AAG10" s="2"/>
      <c r="AAH10" s="2"/>
      <c r="AAI10" s="2"/>
      <c r="AAJ10" s="2"/>
      <c r="AAK10" s="2"/>
      <c r="AAL10" s="2"/>
      <c r="AAM10" s="2"/>
      <c r="AAN10" s="2"/>
      <c r="AAO10" s="2"/>
      <c r="AAP10" s="2"/>
      <c r="AAQ10" s="2"/>
      <c r="AAR10" s="2"/>
      <c r="AAS10" s="2"/>
      <c r="AAT10" s="2"/>
      <c r="AAU10" s="2"/>
      <c r="AAV10" s="2"/>
      <c r="AAW10" s="2"/>
      <c r="AAX10" s="2"/>
      <c r="AAY10" s="2"/>
      <c r="AAZ10" s="2"/>
      <c r="ABA10" s="2"/>
      <c r="ABB10" s="2"/>
      <c r="ABC10" s="2"/>
      <c r="ABD10" s="2"/>
      <c r="ABE10" s="2"/>
      <c r="ABF10" s="2"/>
      <c r="ABG10" s="2"/>
      <c r="ABH10" s="2"/>
      <c r="ABI10" s="2"/>
      <c r="ABJ10" s="2"/>
      <c r="ABK10" s="2"/>
      <c r="ABL10" s="2"/>
      <c r="ABM10" s="2"/>
      <c r="ABN10" s="2"/>
      <c r="ABO10" s="2"/>
      <c r="ABP10" s="2"/>
      <c r="ABQ10" s="2"/>
      <c r="ABR10" s="2"/>
      <c r="ABS10" s="2"/>
      <c r="ABT10" s="2"/>
      <c r="ABU10" s="2"/>
      <c r="ABV10" s="2"/>
      <c r="ABW10" s="2"/>
      <c r="ABX10" s="2"/>
      <c r="ABY10" s="2"/>
      <c r="ABZ10" s="2"/>
      <c r="ACA10" s="2"/>
      <c r="ACB10" s="2"/>
      <c r="ACC10" s="2"/>
      <c r="ACD10" s="2"/>
      <c r="ACE10" s="2"/>
      <c r="ACF10" s="2"/>
      <c r="ACG10" s="2"/>
      <c r="ACH10" s="2"/>
      <c r="ACI10" s="2"/>
      <c r="ACJ10" s="2"/>
      <c r="ACK10" s="2"/>
      <c r="ACL10" s="2"/>
      <c r="ACM10" s="2"/>
      <c r="ACN10" s="2"/>
      <c r="ACO10" s="2"/>
      <c r="ACP10" s="2"/>
      <c r="ACQ10" s="2"/>
      <c r="ACR10" s="2"/>
      <c r="ACS10" s="2"/>
      <c r="ACT10" s="2"/>
      <c r="ACU10" s="2"/>
      <c r="ACV10" s="2"/>
      <c r="ACW10" s="2"/>
      <c r="ACX10" s="2"/>
      <c r="ACY10" s="2"/>
      <c r="ACZ10" s="2"/>
      <c r="ADA10" s="2"/>
      <c r="ADB10" s="2"/>
      <c r="ADC10" s="2"/>
      <c r="ADD10" s="2"/>
      <c r="ADE10" s="2"/>
      <c r="ADF10" s="2"/>
      <c r="ADG10" s="2"/>
      <c r="ADH10" s="2"/>
      <c r="ADI10" s="2"/>
      <c r="ADJ10" s="2"/>
      <c r="ADK10" s="2"/>
      <c r="ADL10" s="2"/>
      <c r="ADM10" s="2"/>
      <c r="ADN10" s="2"/>
      <c r="ADO10" s="2"/>
      <c r="ADP10" s="2"/>
      <c r="ADQ10" s="2"/>
      <c r="ADR10" s="2"/>
      <c r="ADS10" s="2"/>
      <c r="ADT10" s="2"/>
      <c r="ADU10" s="2"/>
      <c r="ADV10" s="2"/>
      <c r="ADW10" s="2"/>
      <c r="ADX10" s="2"/>
      <c r="ADY10" s="2"/>
      <c r="ADZ10" s="2"/>
      <c r="AEA10" s="2"/>
      <c r="AEB10" s="2"/>
      <c r="AEC10" s="2"/>
      <c r="AED10" s="2"/>
      <c r="AEE10" s="2"/>
      <c r="AEF10" s="2"/>
      <c r="AEG10" s="2"/>
      <c r="AEH10" s="2"/>
      <c r="AEI10" s="2"/>
      <c r="AEJ10" s="2"/>
      <c r="AEK10" s="2"/>
      <c r="AEL10" s="2"/>
      <c r="AEM10" s="2"/>
      <c r="AEN10" s="2"/>
      <c r="AEO10" s="2"/>
      <c r="AEP10" s="2"/>
      <c r="AEQ10" s="2"/>
      <c r="AER10" s="2"/>
      <c r="AES10" s="2"/>
      <c r="AET10" s="2"/>
      <c r="AEU10" s="2"/>
      <c r="AEV10" s="2"/>
      <c r="AEW10" s="2"/>
      <c r="AEX10" s="2"/>
      <c r="AEY10" s="2"/>
      <c r="AEZ10" s="2"/>
      <c r="AFA10" s="2"/>
      <c r="AFB10" s="2"/>
      <c r="AFC10" s="2"/>
      <c r="AFD10" s="2"/>
      <c r="AFE10" s="2"/>
      <c r="AFF10" s="2"/>
      <c r="AFG10" s="2"/>
      <c r="AFH10" s="2"/>
      <c r="AFI10" s="2"/>
      <c r="AFJ10" s="2"/>
      <c r="AFK10" s="2"/>
      <c r="AFL10" s="2"/>
      <c r="AFM10" s="2"/>
      <c r="AFN10" s="2"/>
      <c r="AFO10" s="2"/>
      <c r="AFP10" s="2"/>
      <c r="AFQ10" s="2"/>
      <c r="AFR10" s="2"/>
      <c r="AFS10" s="2"/>
      <c r="AFT10" s="2"/>
      <c r="AFU10" s="2"/>
      <c r="AFV10" s="2"/>
      <c r="AFW10" s="2"/>
      <c r="AFX10" s="2"/>
      <c r="AFY10" s="2"/>
      <c r="AFZ10" s="2"/>
      <c r="AGA10" s="2"/>
      <c r="AGB10" s="2"/>
      <c r="AGC10" s="2"/>
      <c r="AGD10" s="2"/>
      <c r="AGE10" s="2"/>
      <c r="AGF10" s="2"/>
      <c r="AGG10" s="2"/>
      <c r="AGH10" s="2"/>
      <c r="AGI10" s="2"/>
      <c r="AGJ10" s="2"/>
      <c r="AGK10" s="2"/>
      <c r="AGL10" s="2"/>
      <c r="AGM10" s="2"/>
      <c r="AGN10" s="2"/>
      <c r="AGO10" s="2"/>
      <c r="AGP10" s="2"/>
      <c r="AGQ10" s="2"/>
      <c r="AGR10" s="2"/>
      <c r="AGS10" s="2"/>
      <c r="AGT10" s="2"/>
      <c r="AGU10" s="2"/>
      <c r="AGV10" s="2"/>
      <c r="AGW10" s="2"/>
      <c r="AGX10" s="2"/>
      <c r="AGY10" s="2"/>
      <c r="AGZ10" s="2"/>
      <c r="AHA10" s="2"/>
      <c r="AHB10" s="2"/>
      <c r="AHC10" s="2"/>
      <c r="AHD10" s="2"/>
      <c r="AHE10" s="2"/>
      <c r="AHF10" s="2"/>
      <c r="AHG10" s="2"/>
      <c r="AHH10" s="2"/>
      <c r="AHI10" s="2"/>
      <c r="AHJ10" s="2"/>
      <c r="AHK10" s="2"/>
      <c r="AHL10" s="2"/>
      <c r="AHM10" s="2"/>
      <c r="AHN10" s="2"/>
      <c r="AHO10" s="2"/>
      <c r="AHP10" s="2"/>
      <c r="AHQ10" s="2"/>
      <c r="AHR10" s="2"/>
      <c r="AHS10" s="2"/>
      <c r="AHT10" s="2"/>
      <c r="AHU10" s="2"/>
      <c r="AHV10" s="2"/>
      <c r="AHW10" s="2"/>
      <c r="AHX10" s="2"/>
      <c r="AHY10" s="2"/>
      <c r="AHZ10" s="2"/>
      <c r="AIA10" s="2"/>
      <c r="AIB10" s="2"/>
      <c r="AIC10" s="2"/>
      <c r="AID10" s="2"/>
      <c r="AIE10" s="2"/>
      <c r="AIF10" s="2"/>
      <c r="AIG10" s="2"/>
      <c r="AIH10" s="2"/>
      <c r="AII10" s="2"/>
      <c r="AIJ10" s="2"/>
      <c r="AIK10" s="2"/>
      <c r="AIL10" s="2"/>
      <c r="AIM10" s="2"/>
      <c r="AIN10" s="2"/>
      <c r="AIO10" s="2"/>
      <c r="AIP10" s="2"/>
      <c r="AIQ10" s="2"/>
      <c r="AIR10" s="2"/>
      <c r="AIS10" s="2"/>
      <c r="AIT10" s="2"/>
      <c r="AIU10" s="2"/>
      <c r="AIV10" s="2"/>
      <c r="AIW10" s="2"/>
      <c r="AIX10" s="2"/>
      <c r="AIY10" s="2"/>
      <c r="AIZ10" s="2"/>
      <c r="AJA10" s="2"/>
      <c r="AJB10" s="2"/>
      <c r="AJC10" s="2"/>
      <c r="AJD10" s="2"/>
      <c r="AJE10" s="2"/>
      <c r="AJF10" s="2"/>
      <c r="AJG10" s="2"/>
      <c r="AJH10" s="2"/>
      <c r="AJI10" s="2"/>
      <c r="AJJ10" s="2"/>
      <c r="AJK10" s="2"/>
      <c r="AJL10" s="2"/>
      <c r="AJM10" s="2"/>
      <c r="AJN10" s="2"/>
      <c r="AJO10" s="2"/>
      <c r="AJP10" s="2"/>
      <c r="AJQ10" s="2"/>
      <c r="AJR10" s="2"/>
      <c r="AJS10" s="2"/>
      <c r="AJT10" s="2"/>
      <c r="AJU10" s="2"/>
      <c r="AJV10" s="2"/>
      <c r="AJW10" s="2"/>
      <c r="AJX10" s="2"/>
      <c r="AJY10" s="2"/>
      <c r="AJZ10" s="2"/>
      <c r="AKA10" s="2"/>
      <c r="AKB10" s="2"/>
      <c r="AKC10" s="2"/>
      <c r="AKD10" s="2"/>
      <c r="AKE10" s="2"/>
      <c r="AKF10" s="2"/>
      <c r="AKG10" s="2"/>
      <c r="AKH10" s="2"/>
      <c r="AKI10" s="2"/>
      <c r="AKJ10" s="2"/>
      <c r="AKK10" s="2"/>
      <c r="AKL10" s="2"/>
      <c r="AKM10" s="2"/>
      <c r="AKN10" s="2"/>
      <c r="AKO10" s="2"/>
      <c r="AKP10" s="2"/>
      <c r="AKQ10" s="2"/>
      <c r="AKR10" s="2"/>
      <c r="AKS10" s="2"/>
      <c r="AKT10" s="2"/>
      <c r="AKU10" s="2"/>
      <c r="AKV10" s="2"/>
      <c r="AKW10" s="2"/>
      <c r="AKX10" s="2"/>
      <c r="AKY10" s="2"/>
      <c r="AKZ10" s="2"/>
      <c r="ALA10" s="2"/>
      <c r="ALB10" s="2"/>
      <c r="ALC10" s="2"/>
      <c r="ALD10" s="2"/>
      <c r="ALE10" s="2"/>
      <c r="ALF10" s="2"/>
      <c r="ALG10" s="2"/>
      <c r="ALH10" s="2"/>
      <c r="ALI10" s="2"/>
      <c r="ALJ10" s="2"/>
      <c r="ALK10" s="2"/>
      <c r="ALL10" s="2"/>
      <c r="ALM10" s="2"/>
      <c r="ALN10" s="2"/>
      <c r="ALO10" s="2"/>
      <c r="ALP10" s="2"/>
      <c r="ALQ10" s="2"/>
      <c r="ALR10" s="2"/>
      <c r="ALS10" s="2"/>
      <c r="ALT10" s="2"/>
      <c r="ALU10" s="2"/>
      <c r="ALV10" s="2"/>
      <c r="ALW10" s="2"/>
      <c r="ALX10" s="2"/>
    </row>
    <row r="11" customFormat="false" ht="15" hidden="false" customHeight="true" outlineLevel="0" collapsed="false">
      <c r="A11" s="2"/>
      <c r="B11" s="65" t="s">
        <v>87</v>
      </c>
      <c r="C11" s="66" t="n">
        <f aca="false">VLOOKUP($B11,Unidades!$D$5:$N$31,6,FALSE())</f>
        <v>334.4</v>
      </c>
      <c r="D11" s="66" t="n">
        <f aca="false">VLOOKUP($B11,Unidades!$D$5:$N$31,7,FALSE())</f>
        <v>296</v>
      </c>
      <c r="E11" s="66" t="n">
        <f aca="false">VLOOKUP($B11,Unidades!$D$5:$N$31,8,FALSE())</f>
        <v>38.4</v>
      </c>
      <c r="F11" s="66" t="n">
        <f aca="false">VLOOKUP($B11,Unidades!$D$5:$N$31,9,FALSE())</f>
        <v>0</v>
      </c>
      <c r="G11" s="66" t="n">
        <f aca="false">D11+E11*$E$6+F11*$F$6</f>
        <v>309.44</v>
      </c>
      <c r="H11" s="67" t="n">
        <f aca="false">IF(G11&lt;750,1.5,IF(G11&lt;2000,2,IF(G11&lt;4000,3,12)))</f>
        <v>1.5</v>
      </c>
      <c r="I11" s="67" t="n">
        <f aca="false">$I$6*H11</f>
        <v>1.8</v>
      </c>
      <c r="J11" s="67" t="str">
        <f aca="false">VLOOKUP($B11,Unidades!$D$5:$N$31,10,FALSE())</f>
        <v>NÃO</v>
      </c>
      <c r="K11" s="67" t="str">
        <f aca="false">VLOOKUP($B11,Unidades!$D$5:$N$31,11,FALSE())</f>
        <v>NÃO</v>
      </c>
      <c r="L11" s="67" t="n">
        <f aca="false">$L$6*H11+(IF(J11="SIM",$J$6,0))</f>
        <v>1.65</v>
      </c>
      <c r="M11" s="67" t="n">
        <f aca="false">$M$6*H11+(IF(J11="SIM",$J$6,0))+(IF(K11="SIM",$K$6,0))</f>
        <v>1.65</v>
      </c>
      <c r="N11" s="67" t="n">
        <f aca="false">H11*12+I11*4+L11*2+M11</f>
        <v>30.15</v>
      </c>
      <c r="O11" s="68" t="n">
        <f aca="false">IF(K11="não", N11*(C$20+D$20),N11*(C$20+D$20)+(M11*+E$20))</f>
        <v>1476.1224729</v>
      </c>
      <c r="P11" s="69"/>
      <c r="Q11" s="24" t="str">
        <f aca="false">B11</f>
        <v>APS CARLOS BARBOSA</v>
      </c>
      <c r="R11" s="26" t="n">
        <f aca="false">H11*($C$20+$D$20)</f>
        <v>73.438929</v>
      </c>
      <c r="S11" s="26" t="n">
        <f aca="false">I11*($C$20+$D$20)</f>
        <v>88.1267148</v>
      </c>
      <c r="T11" s="26" t="n">
        <f aca="false">L11*($C$20+$D$20)</f>
        <v>80.7828219</v>
      </c>
      <c r="U11" s="26" t="n">
        <f aca="false">IF(K11="não",M11*($C$20+$D$20),M11*(C$20+D$20+E$20))</f>
        <v>80.7828219</v>
      </c>
      <c r="V11" s="26" t="n">
        <f aca="false">VLOOKUP(Q11,'Desl. Base Caxias do Sul'!$C$5:$S$14,13,FALSE())*($C$20+$D$20+$E$20*(VLOOKUP(Q11,'Desl. Base Caxias do Sul'!$C$5:$S$14,17,FALSE())/12))</f>
        <v>45.28733955</v>
      </c>
      <c r="W11" s="26" t="n">
        <f aca="false">VLOOKUP(Q11,'Desl. Base Caxias do Sul'!$C$5:$S$14,15,FALSE())*(2+(VLOOKUP(Q11,'Desl. Base Caxias do Sul'!$C$5:$S$14,17,FALSE())/12))</f>
        <v>0</v>
      </c>
      <c r="X11" s="26" t="n">
        <f aca="false">VLOOKUP(Q11,'Desl. Base Caxias do Sul'!$C$5:$Q$14,14,FALSE())</f>
        <v>0</v>
      </c>
      <c r="Y11" s="26" t="n">
        <f aca="false">VLOOKUP(Q11,'Desl. Base Caxias do Sul'!$C$5:$Q$14,13,FALSE())*'Desl. Base Caxias do Sul'!$E$19+'Desl. Base Caxias do Sul'!$E$20*N11/12</f>
        <v>65.03525</v>
      </c>
      <c r="Z11" s="26" t="n">
        <f aca="false">(H11/$AC$5)*'Equipe Técnica'!$C$13</f>
        <v>227.76337360756</v>
      </c>
      <c r="AA11" s="26" t="n">
        <f aca="false">(I11/$AC$5)*'Equipe Técnica'!$C$13</f>
        <v>273.316048329072</v>
      </c>
      <c r="AB11" s="26" t="n">
        <f aca="false">(L11/$AC$5)*'Equipe Técnica'!$C$13</f>
        <v>250.539710968316</v>
      </c>
      <c r="AC11" s="26" t="n">
        <f aca="false">(M11/$AC$5)*'Equipe Técnica'!$C$13</f>
        <v>250.539710968316</v>
      </c>
      <c r="AD11" s="26" t="n">
        <f aca="false">R11+(($V11+$W11+$X11+$Y11)*12/19)+$Z11</f>
        <v>370.879727586507</v>
      </c>
      <c r="AE11" s="26" t="n">
        <f aca="false">S11+(($V11+$W11+$X11+$Y11)*12/19)+$AA11</f>
        <v>431.120188108019</v>
      </c>
      <c r="AF11" s="26" t="n">
        <f aca="false">T11+(($V11+$W11+$X11+$Y11)*12/19)+$AB11</f>
        <v>400.999957847263</v>
      </c>
      <c r="AG11" s="26" t="n">
        <f aca="false">U11+(($V11+$W11+$X11+$Y11)*12/19)+$AC11</f>
        <v>400.999957847263</v>
      </c>
      <c r="AH11" s="2"/>
      <c r="AI11" s="24" t="str">
        <f aca="false">B11</f>
        <v>APS CARLOS BARBOSA</v>
      </c>
      <c r="AJ11" s="70" t="n">
        <f aca="false">VLOOKUP(AI11,Unidades!D$5:H$31,5,)</f>
        <v>0.3142</v>
      </c>
      <c r="AK11" s="48" t="n">
        <f aca="false">AD11*(1+$AJ11)</f>
        <v>487.410137994188</v>
      </c>
      <c r="AL11" s="48" t="n">
        <f aca="false">AE11*(1+$AJ11)</f>
        <v>566.578151211559</v>
      </c>
      <c r="AM11" s="48" t="n">
        <f aca="false">AF11*(1+$AJ11)</f>
        <v>526.994144602873</v>
      </c>
      <c r="AN11" s="48" t="n">
        <f aca="false">AG11*(1+$AJ11)</f>
        <v>526.994144602873</v>
      </c>
      <c r="AO11" s="48" t="n">
        <f aca="false">((AK11*12)+(AL11*4)+(AM11*2)+AN11)/12</f>
        <v>808.018057882092</v>
      </c>
      <c r="AP11" s="48" t="n">
        <f aca="false">AO11*$AP$6</f>
        <v>2130.22942532552</v>
      </c>
      <c r="AQ11" s="48" t="n">
        <f aca="false">AO11+AP11</f>
        <v>2938.24748320761</v>
      </c>
      <c r="AR11" s="71"/>
      <c r="AS11" s="74" t="s">
        <v>88</v>
      </c>
      <c r="AT11" s="48" t="n">
        <f aca="false">AT10*12</f>
        <v>118094.160913602</v>
      </c>
      <c r="AU11" s="48"/>
      <c r="AV11" s="73"/>
      <c r="AW11" s="73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2"/>
      <c r="NE11" s="2"/>
      <c r="NF11" s="2"/>
      <c r="NG11" s="2"/>
      <c r="NH11" s="2"/>
      <c r="NI11" s="2"/>
      <c r="NJ11" s="2"/>
      <c r="NK11" s="2"/>
      <c r="NL11" s="2"/>
      <c r="NM11" s="2"/>
      <c r="NN11" s="2"/>
      <c r="NO11" s="2"/>
      <c r="NP11" s="2"/>
      <c r="NQ11" s="2"/>
      <c r="NR11" s="2"/>
      <c r="NS11" s="2"/>
      <c r="NT11" s="2"/>
      <c r="NU11" s="2"/>
      <c r="NV11" s="2"/>
      <c r="NW11" s="2"/>
      <c r="NX11" s="2"/>
      <c r="NY11" s="2"/>
      <c r="NZ11" s="2"/>
      <c r="OA11" s="2"/>
      <c r="OB11" s="2"/>
      <c r="OC11" s="2"/>
      <c r="OD11" s="2"/>
      <c r="OE11" s="2"/>
      <c r="OF11" s="2"/>
      <c r="OG11" s="2"/>
      <c r="OH11" s="2"/>
      <c r="OI11" s="2"/>
      <c r="OJ11" s="2"/>
      <c r="OK11" s="2"/>
      <c r="OL11" s="2"/>
      <c r="OM11" s="2"/>
      <c r="ON11" s="2"/>
      <c r="OO11" s="2"/>
      <c r="OP11" s="2"/>
      <c r="OQ11" s="2"/>
      <c r="OR11" s="2"/>
      <c r="OS11" s="2"/>
      <c r="OT11" s="2"/>
      <c r="OU11" s="2"/>
      <c r="OV11" s="2"/>
      <c r="OW11" s="2"/>
      <c r="OX11" s="2"/>
      <c r="OY11" s="2"/>
      <c r="OZ11" s="2"/>
      <c r="PA11" s="2"/>
      <c r="PB11" s="2"/>
      <c r="PC11" s="2"/>
      <c r="PD11" s="2"/>
      <c r="PE11" s="2"/>
      <c r="PF11" s="2"/>
      <c r="PG11" s="2"/>
      <c r="PH11" s="2"/>
      <c r="PI11" s="2"/>
      <c r="PJ11" s="2"/>
      <c r="PK11" s="2"/>
      <c r="PL11" s="2"/>
      <c r="PM11" s="2"/>
      <c r="PN11" s="2"/>
      <c r="PO11" s="2"/>
      <c r="PP11" s="2"/>
      <c r="PQ11" s="2"/>
      <c r="PR11" s="2"/>
      <c r="PS11" s="2"/>
      <c r="PT11" s="2"/>
      <c r="PU11" s="2"/>
      <c r="PV11" s="2"/>
      <c r="PW11" s="2"/>
      <c r="PX11" s="2"/>
      <c r="PY11" s="2"/>
      <c r="PZ11" s="2"/>
      <c r="QA11" s="2"/>
      <c r="QB11" s="2"/>
      <c r="QC11" s="2"/>
      <c r="QD11" s="2"/>
      <c r="QE11" s="2"/>
      <c r="QF11" s="2"/>
      <c r="QG11" s="2"/>
      <c r="QH11" s="2"/>
      <c r="QI11" s="2"/>
      <c r="QJ11" s="2"/>
      <c r="QK11" s="2"/>
      <c r="QL11" s="2"/>
      <c r="QM11" s="2"/>
      <c r="QN11" s="2"/>
      <c r="QO11" s="2"/>
      <c r="QP11" s="2"/>
      <c r="QQ11" s="2"/>
      <c r="QR11" s="2"/>
      <c r="QS11" s="2"/>
      <c r="QT11" s="2"/>
      <c r="QU11" s="2"/>
      <c r="QV11" s="2"/>
      <c r="QW11" s="2"/>
      <c r="QX11" s="2"/>
      <c r="QY11" s="2"/>
      <c r="QZ11" s="2"/>
      <c r="RA11" s="2"/>
      <c r="RB11" s="2"/>
      <c r="RC11" s="2"/>
      <c r="RD11" s="2"/>
      <c r="RE11" s="2"/>
      <c r="RF11" s="2"/>
      <c r="RG11" s="2"/>
      <c r="RH11" s="2"/>
      <c r="RI11" s="2"/>
      <c r="RJ11" s="2"/>
      <c r="RK11" s="2"/>
      <c r="RL11" s="2"/>
      <c r="RM11" s="2"/>
      <c r="RN11" s="2"/>
      <c r="RO11" s="2"/>
      <c r="RP11" s="2"/>
      <c r="RQ11" s="2"/>
      <c r="RR11" s="2"/>
      <c r="RS11" s="2"/>
      <c r="RT11" s="2"/>
      <c r="RU11" s="2"/>
      <c r="RV11" s="2"/>
      <c r="RW11" s="2"/>
      <c r="RX11" s="2"/>
      <c r="RY11" s="2"/>
      <c r="RZ11" s="2"/>
      <c r="SA11" s="2"/>
      <c r="SB11" s="2"/>
      <c r="SC11" s="2"/>
      <c r="SD11" s="2"/>
      <c r="SE11" s="2"/>
      <c r="SF11" s="2"/>
      <c r="SG11" s="2"/>
      <c r="SH11" s="2"/>
      <c r="SI11" s="2"/>
      <c r="SJ11" s="2"/>
      <c r="SK11" s="2"/>
      <c r="SL11" s="2"/>
      <c r="SM11" s="2"/>
      <c r="SN11" s="2"/>
      <c r="SO11" s="2"/>
      <c r="SP11" s="2"/>
      <c r="SQ11" s="2"/>
      <c r="SR11" s="2"/>
      <c r="SS11" s="2"/>
      <c r="ST11" s="2"/>
      <c r="SU11" s="2"/>
      <c r="SV11" s="2"/>
      <c r="SW11" s="2"/>
      <c r="SX11" s="2"/>
      <c r="SY11" s="2"/>
      <c r="SZ11" s="2"/>
      <c r="TA11" s="2"/>
      <c r="TB11" s="2"/>
      <c r="TC11" s="2"/>
      <c r="TD11" s="2"/>
      <c r="TE11" s="2"/>
      <c r="TF11" s="2"/>
      <c r="TG11" s="2"/>
      <c r="TH11" s="2"/>
      <c r="TI11" s="2"/>
      <c r="TJ11" s="2"/>
      <c r="TK11" s="2"/>
      <c r="TL11" s="2"/>
      <c r="TM11" s="2"/>
      <c r="TN11" s="2"/>
      <c r="TO11" s="2"/>
      <c r="TP11" s="2"/>
      <c r="TQ11" s="2"/>
      <c r="TR11" s="2"/>
      <c r="TS11" s="2"/>
      <c r="TT11" s="2"/>
      <c r="TU11" s="2"/>
      <c r="TV11" s="2"/>
      <c r="TW11" s="2"/>
      <c r="TX11" s="2"/>
      <c r="TY11" s="2"/>
      <c r="TZ11" s="2"/>
      <c r="UA11" s="2"/>
      <c r="UB11" s="2"/>
      <c r="UC11" s="2"/>
      <c r="UD11" s="2"/>
      <c r="UE11" s="2"/>
      <c r="UF11" s="2"/>
      <c r="UG11" s="2"/>
      <c r="UH11" s="2"/>
      <c r="UI11" s="2"/>
      <c r="UJ11" s="2"/>
      <c r="UK11" s="2"/>
      <c r="UL11" s="2"/>
      <c r="UM11" s="2"/>
      <c r="UN11" s="2"/>
      <c r="UO11" s="2"/>
      <c r="UP11" s="2"/>
      <c r="UQ11" s="2"/>
      <c r="UR11" s="2"/>
      <c r="US11" s="2"/>
      <c r="UT11" s="2"/>
      <c r="UU11" s="2"/>
      <c r="UV11" s="2"/>
      <c r="UW11" s="2"/>
      <c r="UX11" s="2"/>
      <c r="UY11" s="2"/>
      <c r="UZ11" s="2"/>
      <c r="VA11" s="2"/>
      <c r="VB11" s="2"/>
      <c r="VC11" s="2"/>
      <c r="VD11" s="2"/>
      <c r="VE11" s="2"/>
      <c r="VF11" s="2"/>
      <c r="VG11" s="2"/>
      <c r="VH11" s="2"/>
      <c r="VI11" s="2"/>
      <c r="VJ11" s="2"/>
      <c r="VK11" s="2"/>
      <c r="VL11" s="2"/>
      <c r="VM11" s="2"/>
      <c r="VN11" s="2"/>
      <c r="VO11" s="2"/>
      <c r="VP11" s="2"/>
      <c r="VQ11" s="2"/>
      <c r="VR11" s="2"/>
      <c r="VS11" s="2"/>
      <c r="VT11" s="2"/>
      <c r="VU11" s="2"/>
      <c r="VV11" s="2"/>
      <c r="VW11" s="2"/>
      <c r="VX11" s="2"/>
      <c r="VY11" s="2"/>
      <c r="VZ11" s="2"/>
      <c r="WA11" s="2"/>
      <c r="WB11" s="2"/>
      <c r="WC11" s="2"/>
      <c r="WD11" s="2"/>
      <c r="WE11" s="2"/>
      <c r="WF11" s="2"/>
      <c r="WG11" s="2"/>
      <c r="WH11" s="2"/>
      <c r="WI11" s="2"/>
      <c r="WJ11" s="2"/>
      <c r="WK11" s="2"/>
      <c r="WL11" s="2"/>
      <c r="WM11" s="2"/>
      <c r="WN11" s="2"/>
      <c r="WO11" s="2"/>
      <c r="WP11" s="2"/>
      <c r="WQ11" s="2"/>
      <c r="WR11" s="2"/>
      <c r="WS11" s="2"/>
      <c r="WT11" s="2"/>
      <c r="WU11" s="2"/>
      <c r="WV11" s="2"/>
      <c r="WW11" s="2"/>
      <c r="WX11" s="2"/>
      <c r="WY11" s="2"/>
      <c r="WZ11" s="2"/>
      <c r="XA11" s="2"/>
      <c r="XB11" s="2"/>
      <c r="XC11" s="2"/>
      <c r="XD11" s="2"/>
      <c r="XE11" s="2"/>
      <c r="XF11" s="2"/>
      <c r="XG11" s="2"/>
      <c r="XH11" s="2"/>
      <c r="XI11" s="2"/>
      <c r="XJ11" s="2"/>
      <c r="XK11" s="2"/>
      <c r="XL11" s="2"/>
      <c r="XM11" s="2"/>
      <c r="XN11" s="2"/>
      <c r="XO11" s="2"/>
      <c r="XP11" s="2"/>
      <c r="XQ11" s="2"/>
      <c r="XR11" s="2"/>
      <c r="XS11" s="2"/>
      <c r="XT11" s="2"/>
      <c r="XU11" s="2"/>
      <c r="XV11" s="2"/>
      <c r="XW11" s="2"/>
      <c r="XX11" s="2"/>
      <c r="XY11" s="2"/>
      <c r="XZ11" s="2"/>
      <c r="YA11" s="2"/>
      <c r="YB11" s="2"/>
      <c r="YC11" s="2"/>
      <c r="YD11" s="2"/>
      <c r="YE11" s="2"/>
      <c r="YF11" s="2"/>
      <c r="YG11" s="2"/>
      <c r="YH11" s="2"/>
      <c r="YI11" s="2"/>
      <c r="YJ11" s="2"/>
      <c r="YK11" s="2"/>
      <c r="YL11" s="2"/>
      <c r="YM11" s="2"/>
      <c r="YN11" s="2"/>
      <c r="YO11" s="2"/>
      <c r="YP11" s="2"/>
      <c r="YQ11" s="2"/>
      <c r="YR11" s="2"/>
      <c r="YS11" s="2"/>
      <c r="YT11" s="2"/>
      <c r="YU11" s="2"/>
      <c r="YV11" s="2"/>
      <c r="YW11" s="2"/>
      <c r="YX11" s="2"/>
      <c r="YY11" s="2"/>
      <c r="YZ11" s="2"/>
      <c r="ZA11" s="2"/>
      <c r="ZB11" s="2"/>
      <c r="ZC11" s="2"/>
      <c r="ZD11" s="2"/>
      <c r="ZE11" s="2"/>
      <c r="ZF11" s="2"/>
      <c r="ZG11" s="2"/>
      <c r="ZH11" s="2"/>
      <c r="ZI11" s="2"/>
      <c r="ZJ11" s="2"/>
      <c r="ZK11" s="2"/>
      <c r="ZL11" s="2"/>
      <c r="ZM11" s="2"/>
      <c r="ZN11" s="2"/>
      <c r="ZO11" s="2"/>
      <c r="ZP11" s="2"/>
      <c r="ZQ11" s="2"/>
      <c r="ZR11" s="2"/>
      <c r="ZS11" s="2"/>
      <c r="ZT11" s="2"/>
      <c r="ZU11" s="2"/>
      <c r="ZV11" s="2"/>
      <c r="ZW11" s="2"/>
      <c r="ZX11" s="2"/>
      <c r="ZY11" s="2"/>
      <c r="ZZ11" s="2"/>
      <c r="AAA11" s="2"/>
      <c r="AAB11" s="2"/>
      <c r="AAC11" s="2"/>
      <c r="AAD11" s="2"/>
      <c r="AAE11" s="2"/>
      <c r="AAF11" s="2"/>
      <c r="AAG11" s="2"/>
      <c r="AAH11" s="2"/>
      <c r="AAI11" s="2"/>
      <c r="AAJ11" s="2"/>
      <c r="AAK11" s="2"/>
      <c r="AAL11" s="2"/>
      <c r="AAM11" s="2"/>
      <c r="AAN11" s="2"/>
      <c r="AAO11" s="2"/>
      <c r="AAP11" s="2"/>
      <c r="AAQ11" s="2"/>
      <c r="AAR11" s="2"/>
      <c r="AAS11" s="2"/>
      <c r="AAT11" s="2"/>
      <c r="AAU11" s="2"/>
      <c r="AAV11" s="2"/>
      <c r="AAW11" s="2"/>
      <c r="AAX11" s="2"/>
      <c r="AAY11" s="2"/>
      <c r="AAZ11" s="2"/>
      <c r="ABA11" s="2"/>
      <c r="ABB11" s="2"/>
      <c r="ABC11" s="2"/>
      <c r="ABD11" s="2"/>
      <c r="ABE11" s="2"/>
      <c r="ABF11" s="2"/>
      <c r="ABG11" s="2"/>
      <c r="ABH11" s="2"/>
      <c r="ABI11" s="2"/>
      <c r="ABJ11" s="2"/>
      <c r="ABK11" s="2"/>
      <c r="ABL11" s="2"/>
      <c r="ABM11" s="2"/>
      <c r="ABN11" s="2"/>
      <c r="ABO11" s="2"/>
      <c r="ABP11" s="2"/>
      <c r="ABQ11" s="2"/>
      <c r="ABR11" s="2"/>
      <c r="ABS11" s="2"/>
      <c r="ABT11" s="2"/>
      <c r="ABU11" s="2"/>
      <c r="ABV11" s="2"/>
      <c r="ABW11" s="2"/>
      <c r="ABX11" s="2"/>
      <c r="ABY11" s="2"/>
      <c r="ABZ11" s="2"/>
      <c r="ACA11" s="2"/>
      <c r="ACB11" s="2"/>
      <c r="ACC11" s="2"/>
      <c r="ACD11" s="2"/>
      <c r="ACE11" s="2"/>
      <c r="ACF11" s="2"/>
      <c r="ACG11" s="2"/>
      <c r="ACH11" s="2"/>
      <c r="ACI11" s="2"/>
      <c r="ACJ11" s="2"/>
      <c r="ACK11" s="2"/>
      <c r="ACL11" s="2"/>
      <c r="ACM11" s="2"/>
      <c r="ACN11" s="2"/>
      <c r="ACO11" s="2"/>
      <c r="ACP11" s="2"/>
      <c r="ACQ11" s="2"/>
      <c r="ACR11" s="2"/>
      <c r="ACS11" s="2"/>
      <c r="ACT11" s="2"/>
      <c r="ACU11" s="2"/>
      <c r="ACV11" s="2"/>
      <c r="ACW11" s="2"/>
      <c r="ACX11" s="2"/>
      <c r="ACY11" s="2"/>
      <c r="ACZ11" s="2"/>
      <c r="ADA11" s="2"/>
      <c r="ADB11" s="2"/>
      <c r="ADC11" s="2"/>
      <c r="ADD11" s="2"/>
      <c r="ADE11" s="2"/>
      <c r="ADF11" s="2"/>
      <c r="ADG11" s="2"/>
      <c r="ADH11" s="2"/>
      <c r="ADI11" s="2"/>
      <c r="ADJ11" s="2"/>
      <c r="ADK11" s="2"/>
      <c r="ADL11" s="2"/>
      <c r="ADM11" s="2"/>
      <c r="ADN11" s="2"/>
      <c r="ADO11" s="2"/>
      <c r="ADP11" s="2"/>
      <c r="ADQ11" s="2"/>
      <c r="ADR11" s="2"/>
      <c r="ADS11" s="2"/>
      <c r="ADT11" s="2"/>
      <c r="ADU11" s="2"/>
      <c r="ADV11" s="2"/>
      <c r="ADW11" s="2"/>
      <c r="ADX11" s="2"/>
      <c r="ADY11" s="2"/>
      <c r="ADZ11" s="2"/>
      <c r="AEA11" s="2"/>
      <c r="AEB11" s="2"/>
      <c r="AEC11" s="2"/>
      <c r="AED11" s="2"/>
      <c r="AEE11" s="2"/>
      <c r="AEF11" s="2"/>
      <c r="AEG11" s="2"/>
      <c r="AEH11" s="2"/>
      <c r="AEI11" s="2"/>
      <c r="AEJ11" s="2"/>
      <c r="AEK11" s="2"/>
      <c r="AEL11" s="2"/>
      <c r="AEM11" s="2"/>
      <c r="AEN11" s="2"/>
      <c r="AEO11" s="2"/>
      <c r="AEP11" s="2"/>
      <c r="AEQ11" s="2"/>
      <c r="AER11" s="2"/>
      <c r="AES11" s="2"/>
      <c r="AET11" s="2"/>
      <c r="AEU11" s="2"/>
      <c r="AEV11" s="2"/>
      <c r="AEW11" s="2"/>
      <c r="AEX11" s="2"/>
      <c r="AEY11" s="2"/>
      <c r="AEZ11" s="2"/>
      <c r="AFA11" s="2"/>
      <c r="AFB11" s="2"/>
      <c r="AFC11" s="2"/>
      <c r="AFD11" s="2"/>
      <c r="AFE11" s="2"/>
      <c r="AFF11" s="2"/>
      <c r="AFG11" s="2"/>
      <c r="AFH11" s="2"/>
      <c r="AFI11" s="2"/>
      <c r="AFJ11" s="2"/>
      <c r="AFK11" s="2"/>
      <c r="AFL11" s="2"/>
      <c r="AFM11" s="2"/>
      <c r="AFN11" s="2"/>
      <c r="AFO11" s="2"/>
      <c r="AFP11" s="2"/>
      <c r="AFQ11" s="2"/>
      <c r="AFR11" s="2"/>
      <c r="AFS11" s="2"/>
      <c r="AFT11" s="2"/>
      <c r="AFU11" s="2"/>
      <c r="AFV11" s="2"/>
      <c r="AFW11" s="2"/>
      <c r="AFX11" s="2"/>
      <c r="AFY11" s="2"/>
      <c r="AFZ11" s="2"/>
      <c r="AGA11" s="2"/>
      <c r="AGB11" s="2"/>
      <c r="AGC11" s="2"/>
      <c r="AGD11" s="2"/>
      <c r="AGE11" s="2"/>
      <c r="AGF11" s="2"/>
      <c r="AGG11" s="2"/>
      <c r="AGH11" s="2"/>
      <c r="AGI11" s="2"/>
      <c r="AGJ11" s="2"/>
      <c r="AGK11" s="2"/>
      <c r="AGL11" s="2"/>
      <c r="AGM11" s="2"/>
      <c r="AGN11" s="2"/>
      <c r="AGO11" s="2"/>
      <c r="AGP11" s="2"/>
      <c r="AGQ11" s="2"/>
      <c r="AGR11" s="2"/>
      <c r="AGS11" s="2"/>
      <c r="AGT11" s="2"/>
      <c r="AGU11" s="2"/>
      <c r="AGV11" s="2"/>
      <c r="AGW11" s="2"/>
      <c r="AGX11" s="2"/>
      <c r="AGY11" s="2"/>
      <c r="AGZ11" s="2"/>
      <c r="AHA11" s="2"/>
      <c r="AHB11" s="2"/>
      <c r="AHC11" s="2"/>
      <c r="AHD11" s="2"/>
      <c r="AHE11" s="2"/>
      <c r="AHF11" s="2"/>
      <c r="AHG11" s="2"/>
      <c r="AHH11" s="2"/>
      <c r="AHI11" s="2"/>
      <c r="AHJ11" s="2"/>
      <c r="AHK11" s="2"/>
      <c r="AHL11" s="2"/>
      <c r="AHM11" s="2"/>
      <c r="AHN11" s="2"/>
      <c r="AHO11" s="2"/>
      <c r="AHP11" s="2"/>
      <c r="AHQ11" s="2"/>
      <c r="AHR11" s="2"/>
      <c r="AHS11" s="2"/>
      <c r="AHT11" s="2"/>
      <c r="AHU11" s="2"/>
      <c r="AHV11" s="2"/>
      <c r="AHW11" s="2"/>
      <c r="AHX11" s="2"/>
      <c r="AHY11" s="2"/>
      <c r="AHZ11" s="2"/>
      <c r="AIA11" s="2"/>
      <c r="AIB11" s="2"/>
      <c r="AIC11" s="2"/>
      <c r="AID11" s="2"/>
      <c r="AIE11" s="2"/>
      <c r="AIF11" s="2"/>
      <c r="AIG11" s="2"/>
      <c r="AIH11" s="2"/>
      <c r="AII11" s="2"/>
      <c r="AIJ11" s="2"/>
      <c r="AIK11" s="2"/>
      <c r="AIL11" s="2"/>
      <c r="AIM11" s="2"/>
      <c r="AIN11" s="2"/>
      <c r="AIO11" s="2"/>
      <c r="AIP11" s="2"/>
      <c r="AIQ11" s="2"/>
      <c r="AIR11" s="2"/>
      <c r="AIS11" s="2"/>
      <c r="AIT11" s="2"/>
      <c r="AIU11" s="2"/>
      <c r="AIV11" s="2"/>
      <c r="AIW11" s="2"/>
      <c r="AIX11" s="2"/>
      <c r="AIY11" s="2"/>
      <c r="AIZ11" s="2"/>
      <c r="AJA11" s="2"/>
      <c r="AJB11" s="2"/>
      <c r="AJC11" s="2"/>
      <c r="AJD11" s="2"/>
      <c r="AJE11" s="2"/>
      <c r="AJF11" s="2"/>
      <c r="AJG11" s="2"/>
      <c r="AJH11" s="2"/>
      <c r="AJI11" s="2"/>
      <c r="AJJ11" s="2"/>
      <c r="AJK11" s="2"/>
      <c r="AJL11" s="2"/>
      <c r="AJM11" s="2"/>
      <c r="AJN11" s="2"/>
      <c r="AJO11" s="2"/>
      <c r="AJP11" s="2"/>
      <c r="AJQ11" s="2"/>
      <c r="AJR11" s="2"/>
      <c r="AJS11" s="2"/>
      <c r="AJT11" s="2"/>
      <c r="AJU11" s="2"/>
      <c r="AJV11" s="2"/>
      <c r="AJW11" s="2"/>
      <c r="AJX11" s="2"/>
      <c r="AJY11" s="2"/>
      <c r="AJZ11" s="2"/>
      <c r="AKA11" s="2"/>
      <c r="AKB11" s="2"/>
      <c r="AKC11" s="2"/>
      <c r="AKD11" s="2"/>
      <c r="AKE11" s="2"/>
      <c r="AKF11" s="2"/>
      <c r="AKG11" s="2"/>
      <c r="AKH11" s="2"/>
      <c r="AKI11" s="2"/>
      <c r="AKJ11" s="2"/>
      <c r="AKK11" s="2"/>
      <c r="AKL11" s="2"/>
      <c r="AKM11" s="2"/>
      <c r="AKN11" s="2"/>
      <c r="AKO11" s="2"/>
      <c r="AKP11" s="2"/>
      <c r="AKQ11" s="2"/>
      <c r="AKR11" s="2"/>
      <c r="AKS11" s="2"/>
      <c r="AKT11" s="2"/>
      <c r="AKU11" s="2"/>
      <c r="AKV11" s="2"/>
      <c r="AKW11" s="2"/>
      <c r="AKX11" s="2"/>
      <c r="AKY11" s="2"/>
      <c r="AKZ11" s="2"/>
      <c r="ALA11" s="2"/>
      <c r="ALB11" s="2"/>
      <c r="ALC11" s="2"/>
      <c r="ALD11" s="2"/>
      <c r="ALE11" s="2"/>
      <c r="ALF11" s="2"/>
      <c r="ALG11" s="2"/>
      <c r="ALH11" s="2"/>
      <c r="ALI11" s="2"/>
      <c r="ALJ11" s="2"/>
      <c r="ALK11" s="2"/>
      <c r="ALL11" s="2"/>
      <c r="ALM11" s="2"/>
      <c r="ALN11" s="2"/>
      <c r="ALO11" s="2"/>
      <c r="ALP11" s="2"/>
      <c r="ALQ11" s="2"/>
      <c r="ALR11" s="2"/>
      <c r="ALS11" s="2"/>
      <c r="ALT11" s="2"/>
      <c r="ALU11" s="2"/>
      <c r="ALV11" s="2"/>
      <c r="ALW11" s="2"/>
      <c r="ALX11" s="2"/>
    </row>
    <row r="12" customFormat="false" ht="15" hidden="false" customHeight="true" outlineLevel="0" collapsed="false">
      <c r="A12" s="2"/>
      <c r="B12" s="65" t="s">
        <v>89</v>
      </c>
      <c r="C12" s="66" t="n">
        <f aca="false">VLOOKUP($B12,Unidades!$D$5:$N$31,6,FALSE())</f>
        <v>840.61</v>
      </c>
      <c r="D12" s="66" t="n">
        <f aca="false">VLOOKUP($B12,Unidades!$D$5:$N$31,7,FALSE())</f>
        <v>399.63</v>
      </c>
      <c r="E12" s="66" t="n">
        <f aca="false">VLOOKUP($B12,Unidades!$D$5:$N$31,8,FALSE())</f>
        <v>166.29</v>
      </c>
      <c r="F12" s="66" t="n">
        <f aca="false">VLOOKUP($B12,Unidades!$D$5:$N$31,9,FALSE())</f>
        <v>274.69</v>
      </c>
      <c r="G12" s="66" t="n">
        <f aca="false">D12+E12*$E$6+F12*$F$6</f>
        <v>485.3005</v>
      </c>
      <c r="H12" s="67" t="n">
        <f aca="false">IF(G12&lt;750,1.5,IF(G12&lt;2000,2,IF(G12&lt;4000,3,12)))</f>
        <v>1.5</v>
      </c>
      <c r="I12" s="67" t="n">
        <f aca="false">$I$6*H12</f>
        <v>1.8</v>
      </c>
      <c r="J12" s="67" t="str">
        <f aca="false">VLOOKUP($B12,Unidades!$D$5:$N$31,10,FALSE())</f>
        <v>NÃO</v>
      </c>
      <c r="K12" s="67" t="str">
        <f aca="false">VLOOKUP($B12,Unidades!$D$5:$N$31,11,FALSE())</f>
        <v>NÃO</v>
      </c>
      <c r="L12" s="67" t="n">
        <f aca="false">$L$6*H12+(IF(J12="SIM",$J$6,0))</f>
        <v>1.65</v>
      </c>
      <c r="M12" s="67" t="n">
        <f aca="false">$M$6*H12+(IF(J12="SIM",$J$6,0))+(IF(K12="SIM",$K$6,0))</f>
        <v>1.65</v>
      </c>
      <c r="N12" s="67" t="n">
        <f aca="false">H12*12+I12*4+L12*2+M12</f>
        <v>30.15</v>
      </c>
      <c r="O12" s="68" t="n">
        <f aca="false">IF(K12="não", N12*(C$20+D$20),N12*(C$20+D$20)+(M12*+E$20))</f>
        <v>1476.1224729</v>
      </c>
      <c r="P12" s="69"/>
      <c r="Q12" s="24" t="str">
        <f aca="false">B12</f>
        <v>APS GARIBALDI</v>
      </c>
      <c r="R12" s="26" t="n">
        <f aca="false">H12*($C$20+$D$20)</f>
        <v>73.438929</v>
      </c>
      <c r="S12" s="26" t="n">
        <f aca="false">I12*($C$20+$D$20)</f>
        <v>88.1267148</v>
      </c>
      <c r="T12" s="26" t="n">
        <f aca="false">L12*($C$20+$D$20)</f>
        <v>80.7828219</v>
      </c>
      <c r="U12" s="26" t="n">
        <f aca="false">IF(K12="não",M12*($C$20+$D$20),M12*(C$20+D$20+E$20))</f>
        <v>80.7828219</v>
      </c>
      <c r="V12" s="26" t="n">
        <f aca="false">VLOOKUP(Q12,'Desl. Base Caxias do Sul'!$C$5:$S$14,13,FALSE())*($C$20+$D$20+$E$20*(VLOOKUP(Q12,'Desl. Base Caxias do Sul'!$C$5:$S$14,17,FALSE())/12))</f>
        <v>45.28733955</v>
      </c>
      <c r="W12" s="26" t="n">
        <f aca="false">VLOOKUP(Q12,'Desl. Base Caxias do Sul'!$C$5:$S$14,15,FALSE())*(2+(VLOOKUP(Q12,'Desl. Base Caxias do Sul'!$C$5:$S$14,17,FALSE())/12))</f>
        <v>0</v>
      </c>
      <c r="X12" s="26" t="n">
        <f aca="false">VLOOKUP(Q12,'Desl. Base Caxias do Sul'!$C$5:$Q$14,14,FALSE())</f>
        <v>0</v>
      </c>
      <c r="Y12" s="26" t="n">
        <f aca="false">VLOOKUP(Q12,'Desl. Base Caxias do Sul'!$C$5:$Q$14,13,FALSE())*'Desl. Base Caxias do Sul'!$E$19+'Desl. Base Caxias do Sul'!$E$20*N12/12</f>
        <v>65.03525</v>
      </c>
      <c r="Z12" s="26" t="n">
        <f aca="false">(H12/$AC$5)*'Equipe Técnica'!$C$13</f>
        <v>227.76337360756</v>
      </c>
      <c r="AA12" s="26" t="n">
        <f aca="false">(I12/$AC$5)*'Equipe Técnica'!$C$13</f>
        <v>273.316048329072</v>
      </c>
      <c r="AB12" s="26" t="n">
        <f aca="false">(L12/$AC$5)*'Equipe Técnica'!$C$13</f>
        <v>250.539710968316</v>
      </c>
      <c r="AC12" s="26" t="n">
        <f aca="false">(M12/$AC$5)*'Equipe Técnica'!$C$13</f>
        <v>250.539710968316</v>
      </c>
      <c r="AD12" s="26" t="n">
        <f aca="false">R12+(($V12+$W12+$X12+$Y12)*12/19)+$Z12</f>
        <v>370.879727586507</v>
      </c>
      <c r="AE12" s="26" t="n">
        <f aca="false">S12+(($V12+$W12+$X12+$Y12)*12/19)+$AA12</f>
        <v>431.120188108019</v>
      </c>
      <c r="AF12" s="26" t="n">
        <f aca="false">T12+(($V12+$W12+$X12+$Y12)*12/19)+$AB12</f>
        <v>400.999957847263</v>
      </c>
      <c r="AG12" s="26" t="n">
        <f aca="false">U12+(($V12+$W12+$X12+$Y12)*12/19)+$AC12</f>
        <v>400.999957847263</v>
      </c>
      <c r="AH12" s="2"/>
      <c r="AI12" s="24" t="str">
        <f aca="false">B12</f>
        <v>APS GARIBALDI</v>
      </c>
      <c r="AJ12" s="70" t="n">
        <f aca="false">VLOOKUP(AI12,Unidades!D$5:H$31,5,)</f>
        <v>0.2849</v>
      </c>
      <c r="AK12" s="48" t="n">
        <f aca="false">AD12*(1+$AJ12)</f>
        <v>476.543361975903</v>
      </c>
      <c r="AL12" s="48" t="n">
        <f aca="false">AE12*(1+$AJ12)</f>
        <v>553.946329699994</v>
      </c>
      <c r="AM12" s="48" t="n">
        <f aca="false">AF12*(1+$AJ12)</f>
        <v>515.244845837948</v>
      </c>
      <c r="AN12" s="48" t="n">
        <f aca="false">AG12*(1+$AJ12)</f>
        <v>515.244845837948</v>
      </c>
      <c r="AO12" s="48" t="n">
        <f aca="false">((AK12*12)+(AL12*4)+(AM12*2)+AN12)/12</f>
        <v>790.003350002055</v>
      </c>
      <c r="AP12" s="48" t="n">
        <f aca="false">AO12*$AP$6</f>
        <v>2082.73610455087</v>
      </c>
      <c r="AQ12" s="48" t="n">
        <f aca="false">AO12+AP12</f>
        <v>2872.73945455293</v>
      </c>
      <c r="AR12" s="71"/>
      <c r="AS12" s="74" t="s">
        <v>73</v>
      </c>
      <c r="AT12" s="48" t="n">
        <f aca="false">AP17</f>
        <v>25944.9292916247</v>
      </c>
      <c r="AU12" s="48"/>
      <c r="AV12" s="71"/>
      <c r="AW12" s="71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2"/>
      <c r="NE12" s="2"/>
      <c r="NF12" s="2"/>
      <c r="NG12" s="2"/>
      <c r="NH12" s="2"/>
      <c r="NI12" s="2"/>
      <c r="NJ12" s="2"/>
      <c r="NK12" s="2"/>
      <c r="NL12" s="2"/>
      <c r="NM12" s="2"/>
      <c r="NN12" s="2"/>
      <c r="NO12" s="2"/>
      <c r="NP12" s="2"/>
      <c r="NQ12" s="2"/>
      <c r="NR12" s="2"/>
      <c r="NS12" s="2"/>
      <c r="NT12" s="2"/>
      <c r="NU12" s="2"/>
      <c r="NV12" s="2"/>
      <c r="NW12" s="2"/>
      <c r="NX12" s="2"/>
      <c r="NY12" s="2"/>
      <c r="NZ12" s="2"/>
      <c r="OA12" s="2"/>
      <c r="OB12" s="2"/>
      <c r="OC12" s="2"/>
      <c r="OD12" s="2"/>
      <c r="OE12" s="2"/>
      <c r="OF12" s="2"/>
      <c r="OG12" s="2"/>
      <c r="OH12" s="2"/>
      <c r="OI12" s="2"/>
      <c r="OJ12" s="2"/>
      <c r="OK12" s="2"/>
      <c r="OL12" s="2"/>
      <c r="OM12" s="2"/>
      <c r="ON12" s="2"/>
      <c r="OO12" s="2"/>
      <c r="OP12" s="2"/>
      <c r="OQ12" s="2"/>
      <c r="OR12" s="2"/>
      <c r="OS12" s="2"/>
      <c r="OT12" s="2"/>
      <c r="OU12" s="2"/>
      <c r="OV12" s="2"/>
      <c r="OW12" s="2"/>
      <c r="OX12" s="2"/>
      <c r="OY12" s="2"/>
      <c r="OZ12" s="2"/>
      <c r="PA12" s="2"/>
      <c r="PB12" s="2"/>
      <c r="PC12" s="2"/>
      <c r="PD12" s="2"/>
      <c r="PE12" s="2"/>
      <c r="PF12" s="2"/>
      <c r="PG12" s="2"/>
      <c r="PH12" s="2"/>
      <c r="PI12" s="2"/>
      <c r="PJ12" s="2"/>
      <c r="PK12" s="2"/>
      <c r="PL12" s="2"/>
      <c r="PM12" s="2"/>
      <c r="PN12" s="2"/>
      <c r="PO12" s="2"/>
      <c r="PP12" s="2"/>
      <c r="PQ12" s="2"/>
      <c r="PR12" s="2"/>
      <c r="PS12" s="2"/>
      <c r="PT12" s="2"/>
      <c r="PU12" s="2"/>
      <c r="PV12" s="2"/>
      <c r="PW12" s="2"/>
      <c r="PX12" s="2"/>
      <c r="PY12" s="2"/>
      <c r="PZ12" s="2"/>
      <c r="QA12" s="2"/>
      <c r="QB12" s="2"/>
      <c r="QC12" s="2"/>
      <c r="QD12" s="2"/>
      <c r="QE12" s="2"/>
      <c r="QF12" s="2"/>
      <c r="QG12" s="2"/>
      <c r="QH12" s="2"/>
      <c r="QI12" s="2"/>
      <c r="QJ12" s="2"/>
      <c r="QK12" s="2"/>
      <c r="QL12" s="2"/>
      <c r="QM12" s="2"/>
      <c r="QN12" s="2"/>
      <c r="QO12" s="2"/>
      <c r="QP12" s="2"/>
      <c r="QQ12" s="2"/>
      <c r="QR12" s="2"/>
      <c r="QS12" s="2"/>
      <c r="QT12" s="2"/>
      <c r="QU12" s="2"/>
      <c r="QV12" s="2"/>
      <c r="QW12" s="2"/>
      <c r="QX12" s="2"/>
      <c r="QY12" s="2"/>
      <c r="QZ12" s="2"/>
      <c r="RA12" s="2"/>
      <c r="RB12" s="2"/>
      <c r="RC12" s="2"/>
      <c r="RD12" s="2"/>
      <c r="RE12" s="2"/>
      <c r="RF12" s="2"/>
      <c r="RG12" s="2"/>
      <c r="RH12" s="2"/>
      <c r="RI12" s="2"/>
      <c r="RJ12" s="2"/>
      <c r="RK12" s="2"/>
      <c r="RL12" s="2"/>
      <c r="RM12" s="2"/>
      <c r="RN12" s="2"/>
      <c r="RO12" s="2"/>
      <c r="RP12" s="2"/>
      <c r="RQ12" s="2"/>
      <c r="RR12" s="2"/>
      <c r="RS12" s="2"/>
      <c r="RT12" s="2"/>
      <c r="RU12" s="2"/>
      <c r="RV12" s="2"/>
      <c r="RW12" s="2"/>
      <c r="RX12" s="2"/>
      <c r="RY12" s="2"/>
      <c r="RZ12" s="2"/>
      <c r="SA12" s="2"/>
      <c r="SB12" s="2"/>
      <c r="SC12" s="2"/>
      <c r="SD12" s="2"/>
      <c r="SE12" s="2"/>
      <c r="SF12" s="2"/>
      <c r="SG12" s="2"/>
      <c r="SH12" s="2"/>
      <c r="SI12" s="2"/>
      <c r="SJ12" s="2"/>
      <c r="SK12" s="2"/>
      <c r="SL12" s="2"/>
      <c r="SM12" s="2"/>
      <c r="SN12" s="2"/>
      <c r="SO12" s="2"/>
      <c r="SP12" s="2"/>
      <c r="SQ12" s="2"/>
      <c r="SR12" s="2"/>
      <c r="SS12" s="2"/>
      <c r="ST12" s="2"/>
      <c r="SU12" s="2"/>
      <c r="SV12" s="2"/>
      <c r="SW12" s="2"/>
      <c r="SX12" s="2"/>
      <c r="SY12" s="2"/>
      <c r="SZ12" s="2"/>
      <c r="TA12" s="2"/>
      <c r="TB12" s="2"/>
      <c r="TC12" s="2"/>
      <c r="TD12" s="2"/>
      <c r="TE12" s="2"/>
      <c r="TF12" s="2"/>
      <c r="TG12" s="2"/>
      <c r="TH12" s="2"/>
      <c r="TI12" s="2"/>
      <c r="TJ12" s="2"/>
      <c r="TK12" s="2"/>
      <c r="TL12" s="2"/>
      <c r="TM12" s="2"/>
      <c r="TN12" s="2"/>
      <c r="TO12" s="2"/>
      <c r="TP12" s="2"/>
      <c r="TQ12" s="2"/>
      <c r="TR12" s="2"/>
      <c r="TS12" s="2"/>
      <c r="TT12" s="2"/>
      <c r="TU12" s="2"/>
      <c r="TV12" s="2"/>
      <c r="TW12" s="2"/>
      <c r="TX12" s="2"/>
      <c r="TY12" s="2"/>
      <c r="TZ12" s="2"/>
      <c r="UA12" s="2"/>
      <c r="UB12" s="2"/>
      <c r="UC12" s="2"/>
      <c r="UD12" s="2"/>
      <c r="UE12" s="2"/>
      <c r="UF12" s="2"/>
      <c r="UG12" s="2"/>
      <c r="UH12" s="2"/>
      <c r="UI12" s="2"/>
      <c r="UJ12" s="2"/>
      <c r="UK12" s="2"/>
      <c r="UL12" s="2"/>
      <c r="UM12" s="2"/>
      <c r="UN12" s="2"/>
      <c r="UO12" s="2"/>
      <c r="UP12" s="2"/>
      <c r="UQ12" s="2"/>
      <c r="UR12" s="2"/>
      <c r="US12" s="2"/>
      <c r="UT12" s="2"/>
      <c r="UU12" s="2"/>
      <c r="UV12" s="2"/>
      <c r="UW12" s="2"/>
      <c r="UX12" s="2"/>
      <c r="UY12" s="2"/>
      <c r="UZ12" s="2"/>
      <c r="VA12" s="2"/>
      <c r="VB12" s="2"/>
      <c r="VC12" s="2"/>
      <c r="VD12" s="2"/>
      <c r="VE12" s="2"/>
      <c r="VF12" s="2"/>
      <c r="VG12" s="2"/>
      <c r="VH12" s="2"/>
      <c r="VI12" s="2"/>
      <c r="VJ12" s="2"/>
      <c r="VK12" s="2"/>
      <c r="VL12" s="2"/>
      <c r="VM12" s="2"/>
      <c r="VN12" s="2"/>
      <c r="VO12" s="2"/>
      <c r="VP12" s="2"/>
      <c r="VQ12" s="2"/>
      <c r="VR12" s="2"/>
      <c r="VS12" s="2"/>
      <c r="VT12" s="2"/>
      <c r="VU12" s="2"/>
      <c r="VV12" s="2"/>
      <c r="VW12" s="2"/>
      <c r="VX12" s="2"/>
      <c r="VY12" s="2"/>
      <c r="VZ12" s="2"/>
      <c r="WA12" s="2"/>
      <c r="WB12" s="2"/>
      <c r="WC12" s="2"/>
      <c r="WD12" s="2"/>
      <c r="WE12" s="2"/>
      <c r="WF12" s="2"/>
      <c r="WG12" s="2"/>
      <c r="WH12" s="2"/>
      <c r="WI12" s="2"/>
      <c r="WJ12" s="2"/>
      <c r="WK12" s="2"/>
      <c r="WL12" s="2"/>
      <c r="WM12" s="2"/>
      <c r="WN12" s="2"/>
      <c r="WO12" s="2"/>
      <c r="WP12" s="2"/>
      <c r="WQ12" s="2"/>
      <c r="WR12" s="2"/>
      <c r="WS12" s="2"/>
      <c r="WT12" s="2"/>
      <c r="WU12" s="2"/>
      <c r="WV12" s="2"/>
      <c r="WW12" s="2"/>
      <c r="WX12" s="2"/>
      <c r="WY12" s="2"/>
      <c r="WZ12" s="2"/>
      <c r="XA12" s="2"/>
      <c r="XB12" s="2"/>
      <c r="XC12" s="2"/>
      <c r="XD12" s="2"/>
      <c r="XE12" s="2"/>
      <c r="XF12" s="2"/>
      <c r="XG12" s="2"/>
      <c r="XH12" s="2"/>
      <c r="XI12" s="2"/>
      <c r="XJ12" s="2"/>
      <c r="XK12" s="2"/>
      <c r="XL12" s="2"/>
      <c r="XM12" s="2"/>
      <c r="XN12" s="2"/>
      <c r="XO12" s="2"/>
      <c r="XP12" s="2"/>
      <c r="XQ12" s="2"/>
      <c r="XR12" s="2"/>
      <c r="XS12" s="2"/>
      <c r="XT12" s="2"/>
      <c r="XU12" s="2"/>
      <c r="XV12" s="2"/>
      <c r="XW12" s="2"/>
      <c r="XX12" s="2"/>
      <c r="XY12" s="2"/>
      <c r="XZ12" s="2"/>
      <c r="YA12" s="2"/>
      <c r="YB12" s="2"/>
      <c r="YC12" s="2"/>
      <c r="YD12" s="2"/>
      <c r="YE12" s="2"/>
      <c r="YF12" s="2"/>
      <c r="YG12" s="2"/>
      <c r="YH12" s="2"/>
      <c r="YI12" s="2"/>
      <c r="YJ12" s="2"/>
      <c r="YK12" s="2"/>
      <c r="YL12" s="2"/>
      <c r="YM12" s="2"/>
      <c r="YN12" s="2"/>
      <c r="YO12" s="2"/>
      <c r="YP12" s="2"/>
      <c r="YQ12" s="2"/>
      <c r="YR12" s="2"/>
      <c r="YS12" s="2"/>
      <c r="YT12" s="2"/>
      <c r="YU12" s="2"/>
      <c r="YV12" s="2"/>
      <c r="YW12" s="2"/>
      <c r="YX12" s="2"/>
      <c r="YY12" s="2"/>
      <c r="YZ12" s="2"/>
      <c r="ZA12" s="2"/>
      <c r="ZB12" s="2"/>
      <c r="ZC12" s="2"/>
      <c r="ZD12" s="2"/>
      <c r="ZE12" s="2"/>
      <c r="ZF12" s="2"/>
      <c r="ZG12" s="2"/>
      <c r="ZH12" s="2"/>
      <c r="ZI12" s="2"/>
      <c r="ZJ12" s="2"/>
      <c r="ZK12" s="2"/>
      <c r="ZL12" s="2"/>
      <c r="ZM12" s="2"/>
      <c r="ZN12" s="2"/>
      <c r="ZO12" s="2"/>
      <c r="ZP12" s="2"/>
      <c r="ZQ12" s="2"/>
      <c r="ZR12" s="2"/>
      <c r="ZS12" s="2"/>
      <c r="ZT12" s="2"/>
      <c r="ZU12" s="2"/>
      <c r="ZV12" s="2"/>
      <c r="ZW12" s="2"/>
      <c r="ZX12" s="2"/>
      <c r="ZY12" s="2"/>
      <c r="ZZ12" s="2"/>
      <c r="AAA12" s="2"/>
      <c r="AAB12" s="2"/>
      <c r="AAC12" s="2"/>
      <c r="AAD12" s="2"/>
      <c r="AAE12" s="2"/>
      <c r="AAF12" s="2"/>
      <c r="AAG12" s="2"/>
      <c r="AAH12" s="2"/>
      <c r="AAI12" s="2"/>
      <c r="AAJ12" s="2"/>
      <c r="AAK12" s="2"/>
      <c r="AAL12" s="2"/>
      <c r="AAM12" s="2"/>
      <c r="AAN12" s="2"/>
      <c r="AAO12" s="2"/>
      <c r="AAP12" s="2"/>
      <c r="AAQ12" s="2"/>
      <c r="AAR12" s="2"/>
      <c r="AAS12" s="2"/>
      <c r="AAT12" s="2"/>
      <c r="AAU12" s="2"/>
      <c r="AAV12" s="2"/>
      <c r="AAW12" s="2"/>
      <c r="AAX12" s="2"/>
      <c r="AAY12" s="2"/>
      <c r="AAZ12" s="2"/>
      <c r="ABA12" s="2"/>
      <c r="ABB12" s="2"/>
      <c r="ABC12" s="2"/>
      <c r="ABD12" s="2"/>
      <c r="ABE12" s="2"/>
      <c r="ABF12" s="2"/>
      <c r="ABG12" s="2"/>
      <c r="ABH12" s="2"/>
      <c r="ABI12" s="2"/>
      <c r="ABJ12" s="2"/>
      <c r="ABK12" s="2"/>
      <c r="ABL12" s="2"/>
      <c r="ABM12" s="2"/>
      <c r="ABN12" s="2"/>
      <c r="ABO12" s="2"/>
      <c r="ABP12" s="2"/>
      <c r="ABQ12" s="2"/>
      <c r="ABR12" s="2"/>
      <c r="ABS12" s="2"/>
      <c r="ABT12" s="2"/>
      <c r="ABU12" s="2"/>
      <c r="ABV12" s="2"/>
      <c r="ABW12" s="2"/>
      <c r="ABX12" s="2"/>
      <c r="ABY12" s="2"/>
      <c r="ABZ12" s="2"/>
      <c r="ACA12" s="2"/>
      <c r="ACB12" s="2"/>
      <c r="ACC12" s="2"/>
      <c r="ACD12" s="2"/>
      <c r="ACE12" s="2"/>
      <c r="ACF12" s="2"/>
      <c r="ACG12" s="2"/>
      <c r="ACH12" s="2"/>
      <c r="ACI12" s="2"/>
      <c r="ACJ12" s="2"/>
      <c r="ACK12" s="2"/>
      <c r="ACL12" s="2"/>
      <c r="ACM12" s="2"/>
      <c r="ACN12" s="2"/>
      <c r="ACO12" s="2"/>
      <c r="ACP12" s="2"/>
      <c r="ACQ12" s="2"/>
      <c r="ACR12" s="2"/>
      <c r="ACS12" s="2"/>
      <c r="ACT12" s="2"/>
      <c r="ACU12" s="2"/>
      <c r="ACV12" s="2"/>
      <c r="ACW12" s="2"/>
      <c r="ACX12" s="2"/>
      <c r="ACY12" s="2"/>
      <c r="ACZ12" s="2"/>
      <c r="ADA12" s="2"/>
      <c r="ADB12" s="2"/>
      <c r="ADC12" s="2"/>
      <c r="ADD12" s="2"/>
      <c r="ADE12" s="2"/>
      <c r="ADF12" s="2"/>
      <c r="ADG12" s="2"/>
      <c r="ADH12" s="2"/>
      <c r="ADI12" s="2"/>
      <c r="ADJ12" s="2"/>
      <c r="ADK12" s="2"/>
      <c r="ADL12" s="2"/>
      <c r="ADM12" s="2"/>
      <c r="ADN12" s="2"/>
      <c r="ADO12" s="2"/>
      <c r="ADP12" s="2"/>
      <c r="ADQ12" s="2"/>
      <c r="ADR12" s="2"/>
      <c r="ADS12" s="2"/>
      <c r="ADT12" s="2"/>
      <c r="ADU12" s="2"/>
      <c r="ADV12" s="2"/>
      <c r="ADW12" s="2"/>
      <c r="ADX12" s="2"/>
      <c r="ADY12" s="2"/>
      <c r="ADZ12" s="2"/>
      <c r="AEA12" s="2"/>
      <c r="AEB12" s="2"/>
      <c r="AEC12" s="2"/>
      <c r="AED12" s="2"/>
      <c r="AEE12" s="2"/>
      <c r="AEF12" s="2"/>
      <c r="AEG12" s="2"/>
      <c r="AEH12" s="2"/>
      <c r="AEI12" s="2"/>
      <c r="AEJ12" s="2"/>
      <c r="AEK12" s="2"/>
      <c r="AEL12" s="2"/>
      <c r="AEM12" s="2"/>
      <c r="AEN12" s="2"/>
      <c r="AEO12" s="2"/>
      <c r="AEP12" s="2"/>
      <c r="AEQ12" s="2"/>
      <c r="AER12" s="2"/>
      <c r="AES12" s="2"/>
      <c r="AET12" s="2"/>
      <c r="AEU12" s="2"/>
      <c r="AEV12" s="2"/>
      <c r="AEW12" s="2"/>
      <c r="AEX12" s="2"/>
      <c r="AEY12" s="2"/>
      <c r="AEZ12" s="2"/>
      <c r="AFA12" s="2"/>
      <c r="AFB12" s="2"/>
      <c r="AFC12" s="2"/>
      <c r="AFD12" s="2"/>
      <c r="AFE12" s="2"/>
      <c r="AFF12" s="2"/>
      <c r="AFG12" s="2"/>
      <c r="AFH12" s="2"/>
      <c r="AFI12" s="2"/>
      <c r="AFJ12" s="2"/>
      <c r="AFK12" s="2"/>
      <c r="AFL12" s="2"/>
      <c r="AFM12" s="2"/>
      <c r="AFN12" s="2"/>
      <c r="AFO12" s="2"/>
      <c r="AFP12" s="2"/>
      <c r="AFQ12" s="2"/>
      <c r="AFR12" s="2"/>
      <c r="AFS12" s="2"/>
      <c r="AFT12" s="2"/>
      <c r="AFU12" s="2"/>
      <c r="AFV12" s="2"/>
      <c r="AFW12" s="2"/>
      <c r="AFX12" s="2"/>
      <c r="AFY12" s="2"/>
      <c r="AFZ12" s="2"/>
      <c r="AGA12" s="2"/>
      <c r="AGB12" s="2"/>
      <c r="AGC12" s="2"/>
      <c r="AGD12" s="2"/>
      <c r="AGE12" s="2"/>
      <c r="AGF12" s="2"/>
      <c r="AGG12" s="2"/>
      <c r="AGH12" s="2"/>
      <c r="AGI12" s="2"/>
      <c r="AGJ12" s="2"/>
      <c r="AGK12" s="2"/>
      <c r="AGL12" s="2"/>
      <c r="AGM12" s="2"/>
      <c r="AGN12" s="2"/>
      <c r="AGO12" s="2"/>
      <c r="AGP12" s="2"/>
      <c r="AGQ12" s="2"/>
      <c r="AGR12" s="2"/>
      <c r="AGS12" s="2"/>
      <c r="AGT12" s="2"/>
      <c r="AGU12" s="2"/>
      <c r="AGV12" s="2"/>
      <c r="AGW12" s="2"/>
      <c r="AGX12" s="2"/>
      <c r="AGY12" s="2"/>
      <c r="AGZ12" s="2"/>
      <c r="AHA12" s="2"/>
      <c r="AHB12" s="2"/>
      <c r="AHC12" s="2"/>
      <c r="AHD12" s="2"/>
      <c r="AHE12" s="2"/>
      <c r="AHF12" s="2"/>
      <c r="AHG12" s="2"/>
      <c r="AHH12" s="2"/>
      <c r="AHI12" s="2"/>
      <c r="AHJ12" s="2"/>
      <c r="AHK12" s="2"/>
      <c r="AHL12" s="2"/>
      <c r="AHM12" s="2"/>
      <c r="AHN12" s="2"/>
      <c r="AHO12" s="2"/>
      <c r="AHP12" s="2"/>
      <c r="AHQ12" s="2"/>
      <c r="AHR12" s="2"/>
      <c r="AHS12" s="2"/>
      <c r="AHT12" s="2"/>
      <c r="AHU12" s="2"/>
      <c r="AHV12" s="2"/>
      <c r="AHW12" s="2"/>
      <c r="AHX12" s="2"/>
      <c r="AHY12" s="2"/>
      <c r="AHZ12" s="2"/>
      <c r="AIA12" s="2"/>
      <c r="AIB12" s="2"/>
      <c r="AIC12" s="2"/>
      <c r="AID12" s="2"/>
      <c r="AIE12" s="2"/>
      <c r="AIF12" s="2"/>
      <c r="AIG12" s="2"/>
      <c r="AIH12" s="2"/>
      <c r="AII12" s="2"/>
      <c r="AIJ12" s="2"/>
      <c r="AIK12" s="2"/>
      <c r="AIL12" s="2"/>
      <c r="AIM12" s="2"/>
      <c r="AIN12" s="2"/>
      <c r="AIO12" s="2"/>
      <c r="AIP12" s="2"/>
      <c r="AIQ12" s="2"/>
      <c r="AIR12" s="2"/>
      <c r="AIS12" s="2"/>
      <c r="AIT12" s="2"/>
      <c r="AIU12" s="2"/>
      <c r="AIV12" s="2"/>
      <c r="AIW12" s="2"/>
      <c r="AIX12" s="2"/>
      <c r="AIY12" s="2"/>
      <c r="AIZ12" s="2"/>
      <c r="AJA12" s="2"/>
      <c r="AJB12" s="2"/>
      <c r="AJC12" s="2"/>
      <c r="AJD12" s="2"/>
      <c r="AJE12" s="2"/>
      <c r="AJF12" s="2"/>
      <c r="AJG12" s="2"/>
      <c r="AJH12" s="2"/>
      <c r="AJI12" s="2"/>
      <c r="AJJ12" s="2"/>
      <c r="AJK12" s="2"/>
      <c r="AJL12" s="2"/>
      <c r="AJM12" s="2"/>
      <c r="AJN12" s="2"/>
      <c r="AJO12" s="2"/>
      <c r="AJP12" s="2"/>
      <c r="AJQ12" s="2"/>
      <c r="AJR12" s="2"/>
      <c r="AJS12" s="2"/>
      <c r="AJT12" s="2"/>
      <c r="AJU12" s="2"/>
      <c r="AJV12" s="2"/>
      <c r="AJW12" s="2"/>
      <c r="AJX12" s="2"/>
      <c r="AJY12" s="2"/>
      <c r="AJZ12" s="2"/>
      <c r="AKA12" s="2"/>
      <c r="AKB12" s="2"/>
      <c r="AKC12" s="2"/>
      <c r="AKD12" s="2"/>
      <c r="AKE12" s="2"/>
      <c r="AKF12" s="2"/>
      <c r="AKG12" s="2"/>
      <c r="AKH12" s="2"/>
      <c r="AKI12" s="2"/>
      <c r="AKJ12" s="2"/>
      <c r="AKK12" s="2"/>
      <c r="AKL12" s="2"/>
      <c r="AKM12" s="2"/>
      <c r="AKN12" s="2"/>
      <c r="AKO12" s="2"/>
      <c r="AKP12" s="2"/>
      <c r="AKQ12" s="2"/>
      <c r="AKR12" s="2"/>
      <c r="AKS12" s="2"/>
      <c r="AKT12" s="2"/>
      <c r="AKU12" s="2"/>
      <c r="AKV12" s="2"/>
      <c r="AKW12" s="2"/>
      <c r="AKX12" s="2"/>
      <c r="AKY12" s="2"/>
      <c r="AKZ12" s="2"/>
      <c r="ALA12" s="2"/>
      <c r="ALB12" s="2"/>
      <c r="ALC12" s="2"/>
      <c r="ALD12" s="2"/>
      <c r="ALE12" s="2"/>
      <c r="ALF12" s="2"/>
      <c r="ALG12" s="2"/>
      <c r="ALH12" s="2"/>
      <c r="ALI12" s="2"/>
      <c r="ALJ12" s="2"/>
      <c r="ALK12" s="2"/>
      <c r="ALL12" s="2"/>
      <c r="ALM12" s="2"/>
      <c r="ALN12" s="2"/>
      <c r="ALO12" s="2"/>
      <c r="ALP12" s="2"/>
      <c r="ALQ12" s="2"/>
      <c r="ALR12" s="2"/>
      <c r="ALS12" s="2"/>
      <c r="ALT12" s="2"/>
      <c r="ALU12" s="2"/>
      <c r="ALV12" s="2"/>
      <c r="ALW12" s="2"/>
      <c r="ALX12" s="2"/>
    </row>
    <row r="13" customFormat="false" ht="15" hidden="false" customHeight="true" outlineLevel="0" collapsed="false">
      <c r="A13" s="2"/>
      <c r="B13" s="65" t="s">
        <v>90</v>
      </c>
      <c r="C13" s="66" t="n">
        <f aca="false">VLOOKUP($B13,Unidades!$D$5:$N$31,6,FALSE())</f>
        <v>1960.04</v>
      </c>
      <c r="D13" s="66" t="n">
        <f aca="false">VLOOKUP($B13,Unidades!$D$5:$N$31,7,FALSE())</f>
        <v>980.02</v>
      </c>
      <c r="E13" s="66" t="n">
        <f aca="false">VLOOKUP($B13,Unidades!$D$5:$N$31,8,FALSE())</f>
        <v>980.02</v>
      </c>
      <c r="F13" s="66" t="n">
        <f aca="false">VLOOKUP($B13,Unidades!$D$5:$N$31,9,FALSE())</f>
        <v>0</v>
      </c>
      <c r="G13" s="66" t="n">
        <f aca="false">D13+E13*$E$6+F13*$F$6</f>
        <v>1323.027</v>
      </c>
      <c r="H13" s="67" t="n">
        <f aca="false">IF(G13&lt;750,1.5,IF(G13&lt;2000,2,IF(G13&lt;4000,3,12)))</f>
        <v>2</v>
      </c>
      <c r="I13" s="67" t="n">
        <f aca="false">$I$6*H13</f>
        <v>2.4</v>
      </c>
      <c r="J13" s="67" t="str">
        <f aca="false">VLOOKUP($B13,Unidades!$D$5:$N$31,10,FALSE())</f>
        <v>NÃO</v>
      </c>
      <c r="K13" s="67" t="str">
        <f aca="false">VLOOKUP($B13,Unidades!$D$5:$N$31,11,FALSE())</f>
        <v>NÃO</v>
      </c>
      <c r="L13" s="67" t="n">
        <f aca="false">$L$6*H13+(IF(J13="SIM",$J$6,0))</f>
        <v>2.2</v>
      </c>
      <c r="M13" s="67" t="n">
        <f aca="false">$M$6*H13+(IF(J13="SIM",$J$6,0))+(IF(K13="SIM",$K$6,0))</f>
        <v>2.2</v>
      </c>
      <c r="N13" s="67" t="n">
        <f aca="false">H13*12+I13*4+L13*2+M13</f>
        <v>40.2</v>
      </c>
      <c r="O13" s="68" t="n">
        <f aca="false">IF(K13="não", N13*(C$20+D$20),N13*(C$20+D$20)+(M13*+E$20))</f>
        <v>1968.1632972</v>
      </c>
      <c r="P13" s="69"/>
      <c r="Q13" s="24" t="str">
        <f aca="false">B13</f>
        <v>APS BENTO GONÇALVES</v>
      </c>
      <c r="R13" s="26" t="n">
        <f aca="false">H13*($C$20+$D$20)</f>
        <v>97.918572</v>
      </c>
      <c r="S13" s="26" t="n">
        <f aca="false">I13*($C$20+$D$20)</f>
        <v>117.5022864</v>
      </c>
      <c r="T13" s="26" t="n">
        <f aca="false">L13*($C$20+$D$20)</f>
        <v>107.7104292</v>
      </c>
      <c r="U13" s="26" t="n">
        <f aca="false">IF(K13="não",M13*($C$20+$D$20),M13*(C$20+D$20+E$20))</f>
        <v>107.7104292</v>
      </c>
      <c r="V13" s="26" t="n">
        <f aca="false">VLOOKUP(Q13,'Desl. Base Caxias do Sul'!$C$5:$S$14,13,FALSE())*($C$20+$D$20+$E$20*(VLOOKUP(Q13,'Desl. Base Caxias do Sul'!$C$5:$S$14,17,FALSE())/12))</f>
        <v>42.02338715</v>
      </c>
      <c r="W13" s="26" t="n">
        <f aca="false">VLOOKUP(Q13,'Desl. Base Caxias do Sul'!$C$5:$S$14,15,FALSE())*(2+(VLOOKUP(Q13,'Desl. Base Caxias do Sul'!$C$5:$S$14,17,FALSE())/12))</f>
        <v>0</v>
      </c>
      <c r="X13" s="26" t="n">
        <f aca="false">VLOOKUP(Q13,'Desl. Base Caxias do Sul'!$C$5:$Q$14,14,FALSE())</f>
        <v>0</v>
      </c>
      <c r="Y13" s="26" t="n">
        <f aca="false">VLOOKUP(Q13,'Desl. Base Caxias do Sul'!$C$5:$Q$14,13,FALSE())*'Desl. Base Caxias do Sul'!$E$19+'Desl. Base Caxias do Sul'!$E$20*N13/12</f>
        <v>67.0299166666667</v>
      </c>
      <c r="Z13" s="26" t="n">
        <f aca="false">(H13/$AC$5)*'Equipe Técnica'!$C$13</f>
        <v>303.684498143413</v>
      </c>
      <c r="AA13" s="26" t="n">
        <f aca="false">(I13/$AC$5)*'Equipe Técnica'!$C$13</f>
        <v>364.421397772096</v>
      </c>
      <c r="AB13" s="26" t="n">
        <f aca="false">(L13/$AC$5)*'Equipe Técnica'!$C$13</f>
        <v>334.052947957754</v>
      </c>
      <c r="AC13" s="26" t="n">
        <f aca="false">(M13/$AC$5)*'Equipe Técnica'!$C$13</f>
        <v>334.052947957754</v>
      </c>
      <c r="AD13" s="26" t="n">
        <f aca="false">R13+(($V13+$W13+$X13+$Y13)*12/19)+$Z13</f>
        <v>470.478840974992</v>
      </c>
      <c r="AE13" s="26" t="n">
        <f aca="false">S13+(($V13+$W13+$X13+$Y13)*12/19)+$AA13</f>
        <v>550.799455003675</v>
      </c>
      <c r="AF13" s="26" t="n">
        <f aca="false">T13+(($V13+$W13+$X13+$Y13)*12/19)+$AB13</f>
        <v>510.639147989333</v>
      </c>
      <c r="AG13" s="26" t="n">
        <f aca="false">U13+(($V13+$W13+$X13+$Y13)*12/19)+$AC13</f>
        <v>510.639147989333</v>
      </c>
      <c r="AH13" s="2"/>
      <c r="AI13" s="24" t="str">
        <f aca="false">B13</f>
        <v>APS BENTO GONÇALVES</v>
      </c>
      <c r="AJ13" s="70" t="n">
        <f aca="false">VLOOKUP(AI13,Unidades!D$5:H$31,5,)</f>
        <v>0.2849</v>
      </c>
      <c r="AK13" s="48" t="n">
        <f aca="false">AD13*(1+$AJ13)</f>
        <v>604.518262768767</v>
      </c>
      <c r="AL13" s="48" t="n">
        <f aca="false">AE13*(1+$AJ13)</f>
        <v>707.722219734221</v>
      </c>
      <c r="AM13" s="48" t="n">
        <f aca="false">AF13*(1+$AJ13)</f>
        <v>656.120241251494</v>
      </c>
      <c r="AN13" s="48" t="n">
        <f aca="false">AG13*(1+$AJ13)</f>
        <v>656.120241251494</v>
      </c>
      <c r="AO13" s="48" t="n">
        <f aca="false">((AK13*12)+(AL13*4)+(AM13*2)+AN13)/12</f>
        <v>1004.45572965971</v>
      </c>
      <c r="AP13" s="48" t="n">
        <f aca="false">AO13*$AP$6</f>
        <v>2648.11056001197</v>
      </c>
      <c r="AQ13" s="48" t="n">
        <f aca="false">AO13+AP13</f>
        <v>3652.56628967169</v>
      </c>
      <c r="AR13" s="71"/>
      <c r="AS13" s="74" t="s">
        <v>91</v>
      </c>
      <c r="AT13" s="48" t="n">
        <f aca="false">AT12*12</f>
        <v>311339.151499496</v>
      </c>
      <c r="AU13" s="48"/>
      <c r="AV13" s="73"/>
      <c r="AW13" s="73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2"/>
      <c r="NJ13" s="2"/>
      <c r="NK13" s="2"/>
      <c r="NL13" s="2"/>
      <c r="NM13" s="2"/>
      <c r="NN13" s="2"/>
      <c r="NO13" s="2"/>
      <c r="NP13" s="2"/>
      <c r="NQ13" s="2"/>
      <c r="NR13" s="2"/>
      <c r="NS13" s="2"/>
      <c r="NT13" s="2"/>
      <c r="NU13" s="2"/>
      <c r="NV13" s="2"/>
      <c r="NW13" s="2"/>
      <c r="NX13" s="2"/>
      <c r="NY13" s="2"/>
      <c r="NZ13" s="2"/>
      <c r="OA13" s="2"/>
      <c r="OB13" s="2"/>
      <c r="OC13" s="2"/>
      <c r="OD13" s="2"/>
      <c r="OE13" s="2"/>
      <c r="OF13" s="2"/>
      <c r="OG13" s="2"/>
      <c r="OH13" s="2"/>
      <c r="OI13" s="2"/>
      <c r="OJ13" s="2"/>
      <c r="OK13" s="2"/>
      <c r="OL13" s="2"/>
      <c r="OM13" s="2"/>
      <c r="ON13" s="2"/>
      <c r="OO13" s="2"/>
      <c r="OP13" s="2"/>
      <c r="OQ13" s="2"/>
      <c r="OR13" s="2"/>
      <c r="OS13" s="2"/>
      <c r="OT13" s="2"/>
      <c r="OU13" s="2"/>
      <c r="OV13" s="2"/>
      <c r="OW13" s="2"/>
      <c r="OX13" s="2"/>
      <c r="OY13" s="2"/>
      <c r="OZ13" s="2"/>
      <c r="PA13" s="2"/>
      <c r="PB13" s="2"/>
      <c r="PC13" s="2"/>
      <c r="PD13" s="2"/>
      <c r="PE13" s="2"/>
      <c r="PF13" s="2"/>
      <c r="PG13" s="2"/>
      <c r="PH13" s="2"/>
      <c r="PI13" s="2"/>
      <c r="PJ13" s="2"/>
      <c r="PK13" s="2"/>
      <c r="PL13" s="2"/>
      <c r="PM13" s="2"/>
      <c r="PN13" s="2"/>
      <c r="PO13" s="2"/>
      <c r="PP13" s="2"/>
      <c r="PQ13" s="2"/>
      <c r="PR13" s="2"/>
      <c r="PS13" s="2"/>
      <c r="PT13" s="2"/>
      <c r="PU13" s="2"/>
      <c r="PV13" s="2"/>
      <c r="PW13" s="2"/>
      <c r="PX13" s="2"/>
      <c r="PY13" s="2"/>
      <c r="PZ13" s="2"/>
      <c r="QA13" s="2"/>
      <c r="QB13" s="2"/>
      <c r="QC13" s="2"/>
      <c r="QD13" s="2"/>
      <c r="QE13" s="2"/>
      <c r="QF13" s="2"/>
      <c r="QG13" s="2"/>
      <c r="QH13" s="2"/>
      <c r="QI13" s="2"/>
      <c r="QJ13" s="2"/>
      <c r="QK13" s="2"/>
      <c r="QL13" s="2"/>
      <c r="QM13" s="2"/>
      <c r="QN13" s="2"/>
      <c r="QO13" s="2"/>
      <c r="QP13" s="2"/>
      <c r="QQ13" s="2"/>
      <c r="QR13" s="2"/>
      <c r="QS13" s="2"/>
      <c r="QT13" s="2"/>
      <c r="QU13" s="2"/>
      <c r="QV13" s="2"/>
      <c r="QW13" s="2"/>
      <c r="QX13" s="2"/>
      <c r="QY13" s="2"/>
      <c r="QZ13" s="2"/>
      <c r="RA13" s="2"/>
      <c r="RB13" s="2"/>
      <c r="RC13" s="2"/>
      <c r="RD13" s="2"/>
      <c r="RE13" s="2"/>
      <c r="RF13" s="2"/>
      <c r="RG13" s="2"/>
      <c r="RH13" s="2"/>
      <c r="RI13" s="2"/>
      <c r="RJ13" s="2"/>
      <c r="RK13" s="2"/>
      <c r="RL13" s="2"/>
      <c r="RM13" s="2"/>
      <c r="RN13" s="2"/>
      <c r="RO13" s="2"/>
      <c r="RP13" s="2"/>
      <c r="RQ13" s="2"/>
      <c r="RR13" s="2"/>
      <c r="RS13" s="2"/>
      <c r="RT13" s="2"/>
      <c r="RU13" s="2"/>
      <c r="RV13" s="2"/>
      <c r="RW13" s="2"/>
      <c r="RX13" s="2"/>
      <c r="RY13" s="2"/>
      <c r="RZ13" s="2"/>
      <c r="SA13" s="2"/>
      <c r="SB13" s="2"/>
      <c r="SC13" s="2"/>
      <c r="SD13" s="2"/>
      <c r="SE13" s="2"/>
      <c r="SF13" s="2"/>
      <c r="SG13" s="2"/>
      <c r="SH13" s="2"/>
      <c r="SI13" s="2"/>
      <c r="SJ13" s="2"/>
      <c r="SK13" s="2"/>
      <c r="SL13" s="2"/>
      <c r="SM13" s="2"/>
      <c r="SN13" s="2"/>
      <c r="SO13" s="2"/>
      <c r="SP13" s="2"/>
      <c r="SQ13" s="2"/>
      <c r="SR13" s="2"/>
      <c r="SS13" s="2"/>
      <c r="ST13" s="2"/>
      <c r="SU13" s="2"/>
      <c r="SV13" s="2"/>
      <c r="SW13" s="2"/>
      <c r="SX13" s="2"/>
      <c r="SY13" s="2"/>
      <c r="SZ13" s="2"/>
      <c r="TA13" s="2"/>
      <c r="TB13" s="2"/>
      <c r="TC13" s="2"/>
      <c r="TD13" s="2"/>
      <c r="TE13" s="2"/>
      <c r="TF13" s="2"/>
      <c r="TG13" s="2"/>
      <c r="TH13" s="2"/>
      <c r="TI13" s="2"/>
      <c r="TJ13" s="2"/>
      <c r="TK13" s="2"/>
      <c r="TL13" s="2"/>
      <c r="TM13" s="2"/>
      <c r="TN13" s="2"/>
      <c r="TO13" s="2"/>
      <c r="TP13" s="2"/>
      <c r="TQ13" s="2"/>
      <c r="TR13" s="2"/>
      <c r="TS13" s="2"/>
      <c r="TT13" s="2"/>
      <c r="TU13" s="2"/>
      <c r="TV13" s="2"/>
      <c r="TW13" s="2"/>
      <c r="TX13" s="2"/>
      <c r="TY13" s="2"/>
      <c r="TZ13" s="2"/>
      <c r="UA13" s="2"/>
      <c r="UB13" s="2"/>
      <c r="UC13" s="2"/>
      <c r="UD13" s="2"/>
      <c r="UE13" s="2"/>
      <c r="UF13" s="2"/>
      <c r="UG13" s="2"/>
      <c r="UH13" s="2"/>
      <c r="UI13" s="2"/>
      <c r="UJ13" s="2"/>
      <c r="UK13" s="2"/>
      <c r="UL13" s="2"/>
      <c r="UM13" s="2"/>
      <c r="UN13" s="2"/>
      <c r="UO13" s="2"/>
      <c r="UP13" s="2"/>
      <c r="UQ13" s="2"/>
      <c r="UR13" s="2"/>
      <c r="US13" s="2"/>
      <c r="UT13" s="2"/>
      <c r="UU13" s="2"/>
      <c r="UV13" s="2"/>
      <c r="UW13" s="2"/>
      <c r="UX13" s="2"/>
      <c r="UY13" s="2"/>
      <c r="UZ13" s="2"/>
      <c r="VA13" s="2"/>
      <c r="VB13" s="2"/>
      <c r="VC13" s="2"/>
      <c r="VD13" s="2"/>
      <c r="VE13" s="2"/>
      <c r="VF13" s="2"/>
      <c r="VG13" s="2"/>
      <c r="VH13" s="2"/>
      <c r="VI13" s="2"/>
      <c r="VJ13" s="2"/>
      <c r="VK13" s="2"/>
      <c r="VL13" s="2"/>
      <c r="VM13" s="2"/>
      <c r="VN13" s="2"/>
      <c r="VO13" s="2"/>
      <c r="VP13" s="2"/>
      <c r="VQ13" s="2"/>
      <c r="VR13" s="2"/>
      <c r="VS13" s="2"/>
      <c r="VT13" s="2"/>
      <c r="VU13" s="2"/>
      <c r="VV13" s="2"/>
      <c r="VW13" s="2"/>
      <c r="VX13" s="2"/>
      <c r="VY13" s="2"/>
      <c r="VZ13" s="2"/>
      <c r="WA13" s="2"/>
      <c r="WB13" s="2"/>
      <c r="WC13" s="2"/>
      <c r="WD13" s="2"/>
      <c r="WE13" s="2"/>
      <c r="WF13" s="2"/>
      <c r="WG13" s="2"/>
      <c r="WH13" s="2"/>
      <c r="WI13" s="2"/>
      <c r="WJ13" s="2"/>
      <c r="WK13" s="2"/>
      <c r="WL13" s="2"/>
      <c r="WM13" s="2"/>
      <c r="WN13" s="2"/>
      <c r="WO13" s="2"/>
      <c r="WP13" s="2"/>
      <c r="WQ13" s="2"/>
      <c r="WR13" s="2"/>
      <c r="WS13" s="2"/>
      <c r="WT13" s="2"/>
      <c r="WU13" s="2"/>
      <c r="WV13" s="2"/>
      <c r="WW13" s="2"/>
      <c r="WX13" s="2"/>
      <c r="WY13" s="2"/>
      <c r="WZ13" s="2"/>
      <c r="XA13" s="2"/>
      <c r="XB13" s="2"/>
      <c r="XC13" s="2"/>
      <c r="XD13" s="2"/>
      <c r="XE13" s="2"/>
      <c r="XF13" s="2"/>
      <c r="XG13" s="2"/>
      <c r="XH13" s="2"/>
      <c r="XI13" s="2"/>
      <c r="XJ13" s="2"/>
      <c r="XK13" s="2"/>
      <c r="XL13" s="2"/>
      <c r="XM13" s="2"/>
      <c r="XN13" s="2"/>
      <c r="XO13" s="2"/>
      <c r="XP13" s="2"/>
      <c r="XQ13" s="2"/>
      <c r="XR13" s="2"/>
      <c r="XS13" s="2"/>
      <c r="XT13" s="2"/>
      <c r="XU13" s="2"/>
      <c r="XV13" s="2"/>
      <c r="XW13" s="2"/>
      <c r="XX13" s="2"/>
      <c r="XY13" s="2"/>
      <c r="XZ13" s="2"/>
      <c r="YA13" s="2"/>
      <c r="YB13" s="2"/>
      <c r="YC13" s="2"/>
      <c r="YD13" s="2"/>
      <c r="YE13" s="2"/>
      <c r="YF13" s="2"/>
      <c r="YG13" s="2"/>
      <c r="YH13" s="2"/>
      <c r="YI13" s="2"/>
      <c r="YJ13" s="2"/>
      <c r="YK13" s="2"/>
      <c r="YL13" s="2"/>
      <c r="YM13" s="2"/>
      <c r="YN13" s="2"/>
      <c r="YO13" s="2"/>
      <c r="YP13" s="2"/>
      <c r="YQ13" s="2"/>
      <c r="YR13" s="2"/>
      <c r="YS13" s="2"/>
      <c r="YT13" s="2"/>
      <c r="YU13" s="2"/>
      <c r="YV13" s="2"/>
      <c r="YW13" s="2"/>
      <c r="YX13" s="2"/>
      <c r="YY13" s="2"/>
      <c r="YZ13" s="2"/>
      <c r="ZA13" s="2"/>
      <c r="ZB13" s="2"/>
      <c r="ZC13" s="2"/>
      <c r="ZD13" s="2"/>
      <c r="ZE13" s="2"/>
      <c r="ZF13" s="2"/>
      <c r="ZG13" s="2"/>
      <c r="ZH13" s="2"/>
      <c r="ZI13" s="2"/>
      <c r="ZJ13" s="2"/>
      <c r="ZK13" s="2"/>
      <c r="ZL13" s="2"/>
      <c r="ZM13" s="2"/>
      <c r="ZN13" s="2"/>
      <c r="ZO13" s="2"/>
      <c r="ZP13" s="2"/>
      <c r="ZQ13" s="2"/>
      <c r="ZR13" s="2"/>
      <c r="ZS13" s="2"/>
      <c r="ZT13" s="2"/>
      <c r="ZU13" s="2"/>
      <c r="ZV13" s="2"/>
      <c r="ZW13" s="2"/>
      <c r="ZX13" s="2"/>
      <c r="ZY13" s="2"/>
      <c r="ZZ13" s="2"/>
      <c r="AAA13" s="2"/>
      <c r="AAB13" s="2"/>
      <c r="AAC13" s="2"/>
      <c r="AAD13" s="2"/>
      <c r="AAE13" s="2"/>
      <c r="AAF13" s="2"/>
      <c r="AAG13" s="2"/>
      <c r="AAH13" s="2"/>
      <c r="AAI13" s="2"/>
      <c r="AAJ13" s="2"/>
      <c r="AAK13" s="2"/>
      <c r="AAL13" s="2"/>
      <c r="AAM13" s="2"/>
      <c r="AAN13" s="2"/>
      <c r="AAO13" s="2"/>
      <c r="AAP13" s="2"/>
      <c r="AAQ13" s="2"/>
      <c r="AAR13" s="2"/>
      <c r="AAS13" s="2"/>
      <c r="AAT13" s="2"/>
      <c r="AAU13" s="2"/>
      <c r="AAV13" s="2"/>
      <c r="AAW13" s="2"/>
      <c r="AAX13" s="2"/>
      <c r="AAY13" s="2"/>
      <c r="AAZ13" s="2"/>
      <c r="ABA13" s="2"/>
      <c r="ABB13" s="2"/>
      <c r="ABC13" s="2"/>
      <c r="ABD13" s="2"/>
      <c r="ABE13" s="2"/>
      <c r="ABF13" s="2"/>
      <c r="ABG13" s="2"/>
      <c r="ABH13" s="2"/>
      <c r="ABI13" s="2"/>
      <c r="ABJ13" s="2"/>
      <c r="ABK13" s="2"/>
      <c r="ABL13" s="2"/>
      <c r="ABM13" s="2"/>
      <c r="ABN13" s="2"/>
      <c r="ABO13" s="2"/>
      <c r="ABP13" s="2"/>
      <c r="ABQ13" s="2"/>
      <c r="ABR13" s="2"/>
      <c r="ABS13" s="2"/>
      <c r="ABT13" s="2"/>
      <c r="ABU13" s="2"/>
      <c r="ABV13" s="2"/>
      <c r="ABW13" s="2"/>
      <c r="ABX13" s="2"/>
      <c r="ABY13" s="2"/>
      <c r="ABZ13" s="2"/>
      <c r="ACA13" s="2"/>
      <c r="ACB13" s="2"/>
      <c r="ACC13" s="2"/>
      <c r="ACD13" s="2"/>
      <c r="ACE13" s="2"/>
      <c r="ACF13" s="2"/>
      <c r="ACG13" s="2"/>
      <c r="ACH13" s="2"/>
      <c r="ACI13" s="2"/>
      <c r="ACJ13" s="2"/>
      <c r="ACK13" s="2"/>
      <c r="ACL13" s="2"/>
      <c r="ACM13" s="2"/>
      <c r="ACN13" s="2"/>
      <c r="ACO13" s="2"/>
      <c r="ACP13" s="2"/>
      <c r="ACQ13" s="2"/>
      <c r="ACR13" s="2"/>
      <c r="ACS13" s="2"/>
      <c r="ACT13" s="2"/>
      <c r="ACU13" s="2"/>
      <c r="ACV13" s="2"/>
      <c r="ACW13" s="2"/>
      <c r="ACX13" s="2"/>
      <c r="ACY13" s="2"/>
      <c r="ACZ13" s="2"/>
      <c r="ADA13" s="2"/>
      <c r="ADB13" s="2"/>
      <c r="ADC13" s="2"/>
      <c r="ADD13" s="2"/>
      <c r="ADE13" s="2"/>
      <c r="ADF13" s="2"/>
      <c r="ADG13" s="2"/>
      <c r="ADH13" s="2"/>
      <c r="ADI13" s="2"/>
      <c r="ADJ13" s="2"/>
      <c r="ADK13" s="2"/>
      <c r="ADL13" s="2"/>
      <c r="ADM13" s="2"/>
      <c r="ADN13" s="2"/>
      <c r="ADO13" s="2"/>
      <c r="ADP13" s="2"/>
      <c r="ADQ13" s="2"/>
      <c r="ADR13" s="2"/>
      <c r="ADS13" s="2"/>
      <c r="ADT13" s="2"/>
      <c r="ADU13" s="2"/>
      <c r="ADV13" s="2"/>
      <c r="ADW13" s="2"/>
      <c r="ADX13" s="2"/>
      <c r="ADY13" s="2"/>
      <c r="ADZ13" s="2"/>
      <c r="AEA13" s="2"/>
      <c r="AEB13" s="2"/>
      <c r="AEC13" s="2"/>
      <c r="AED13" s="2"/>
      <c r="AEE13" s="2"/>
      <c r="AEF13" s="2"/>
      <c r="AEG13" s="2"/>
      <c r="AEH13" s="2"/>
      <c r="AEI13" s="2"/>
      <c r="AEJ13" s="2"/>
      <c r="AEK13" s="2"/>
      <c r="AEL13" s="2"/>
      <c r="AEM13" s="2"/>
      <c r="AEN13" s="2"/>
      <c r="AEO13" s="2"/>
      <c r="AEP13" s="2"/>
      <c r="AEQ13" s="2"/>
      <c r="AER13" s="2"/>
      <c r="AES13" s="2"/>
      <c r="AET13" s="2"/>
      <c r="AEU13" s="2"/>
      <c r="AEV13" s="2"/>
      <c r="AEW13" s="2"/>
      <c r="AEX13" s="2"/>
      <c r="AEY13" s="2"/>
      <c r="AEZ13" s="2"/>
      <c r="AFA13" s="2"/>
      <c r="AFB13" s="2"/>
      <c r="AFC13" s="2"/>
      <c r="AFD13" s="2"/>
      <c r="AFE13" s="2"/>
      <c r="AFF13" s="2"/>
      <c r="AFG13" s="2"/>
      <c r="AFH13" s="2"/>
      <c r="AFI13" s="2"/>
      <c r="AFJ13" s="2"/>
      <c r="AFK13" s="2"/>
      <c r="AFL13" s="2"/>
      <c r="AFM13" s="2"/>
      <c r="AFN13" s="2"/>
      <c r="AFO13" s="2"/>
      <c r="AFP13" s="2"/>
      <c r="AFQ13" s="2"/>
      <c r="AFR13" s="2"/>
      <c r="AFS13" s="2"/>
      <c r="AFT13" s="2"/>
      <c r="AFU13" s="2"/>
      <c r="AFV13" s="2"/>
      <c r="AFW13" s="2"/>
      <c r="AFX13" s="2"/>
      <c r="AFY13" s="2"/>
      <c r="AFZ13" s="2"/>
      <c r="AGA13" s="2"/>
      <c r="AGB13" s="2"/>
      <c r="AGC13" s="2"/>
      <c r="AGD13" s="2"/>
      <c r="AGE13" s="2"/>
      <c r="AGF13" s="2"/>
      <c r="AGG13" s="2"/>
      <c r="AGH13" s="2"/>
      <c r="AGI13" s="2"/>
      <c r="AGJ13" s="2"/>
      <c r="AGK13" s="2"/>
      <c r="AGL13" s="2"/>
      <c r="AGM13" s="2"/>
      <c r="AGN13" s="2"/>
      <c r="AGO13" s="2"/>
      <c r="AGP13" s="2"/>
      <c r="AGQ13" s="2"/>
      <c r="AGR13" s="2"/>
      <c r="AGS13" s="2"/>
      <c r="AGT13" s="2"/>
      <c r="AGU13" s="2"/>
      <c r="AGV13" s="2"/>
      <c r="AGW13" s="2"/>
      <c r="AGX13" s="2"/>
      <c r="AGY13" s="2"/>
      <c r="AGZ13" s="2"/>
      <c r="AHA13" s="2"/>
      <c r="AHB13" s="2"/>
      <c r="AHC13" s="2"/>
      <c r="AHD13" s="2"/>
      <c r="AHE13" s="2"/>
      <c r="AHF13" s="2"/>
      <c r="AHG13" s="2"/>
      <c r="AHH13" s="2"/>
      <c r="AHI13" s="2"/>
      <c r="AHJ13" s="2"/>
      <c r="AHK13" s="2"/>
      <c r="AHL13" s="2"/>
      <c r="AHM13" s="2"/>
      <c r="AHN13" s="2"/>
      <c r="AHO13" s="2"/>
      <c r="AHP13" s="2"/>
      <c r="AHQ13" s="2"/>
      <c r="AHR13" s="2"/>
      <c r="AHS13" s="2"/>
      <c r="AHT13" s="2"/>
      <c r="AHU13" s="2"/>
      <c r="AHV13" s="2"/>
      <c r="AHW13" s="2"/>
      <c r="AHX13" s="2"/>
      <c r="AHY13" s="2"/>
      <c r="AHZ13" s="2"/>
      <c r="AIA13" s="2"/>
      <c r="AIB13" s="2"/>
      <c r="AIC13" s="2"/>
      <c r="AID13" s="2"/>
      <c r="AIE13" s="2"/>
      <c r="AIF13" s="2"/>
      <c r="AIG13" s="2"/>
      <c r="AIH13" s="2"/>
      <c r="AII13" s="2"/>
      <c r="AIJ13" s="2"/>
      <c r="AIK13" s="2"/>
      <c r="AIL13" s="2"/>
      <c r="AIM13" s="2"/>
      <c r="AIN13" s="2"/>
      <c r="AIO13" s="2"/>
      <c r="AIP13" s="2"/>
      <c r="AIQ13" s="2"/>
      <c r="AIR13" s="2"/>
      <c r="AIS13" s="2"/>
      <c r="AIT13" s="2"/>
      <c r="AIU13" s="2"/>
      <c r="AIV13" s="2"/>
      <c r="AIW13" s="2"/>
      <c r="AIX13" s="2"/>
      <c r="AIY13" s="2"/>
      <c r="AIZ13" s="2"/>
      <c r="AJA13" s="2"/>
      <c r="AJB13" s="2"/>
      <c r="AJC13" s="2"/>
      <c r="AJD13" s="2"/>
      <c r="AJE13" s="2"/>
      <c r="AJF13" s="2"/>
      <c r="AJG13" s="2"/>
      <c r="AJH13" s="2"/>
      <c r="AJI13" s="2"/>
      <c r="AJJ13" s="2"/>
      <c r="AJK13" s="2"/>
      <c r="AJL13" s="2"/>
      <c r="AJM13" s="2"/>
      <c r="AJN13" s="2"/>
      <c r="AJO13" s="2"/>
      <c r="AJP13" s="2"/>
      <c r="AJQ13" s="2"/>
      <c r="AJR13" s="2"/>
      <c r="AJS13" s="2"/>
      <c r="AJT13" s="2"/>
      <c r="AJU13" s="2"/>
      <c r="AJV13" s="2"/>
      <c r="AJW13" s="2"/>
      <c r="AJX13" s="2"/>
      <c r="AJY13" s="2"/>
      <c r="AJZ13" s="2"/>
      <c r="AKA13" s="2"/>
      <c r="AKB13" s="2"/>
      <c r="AKC13" s="2"/>
      <c r="AKD13" s="2"/>
      <c r="AKE13" s="2"/>
      <c r="AKF13" s="2"/>
      <c r="AKG13" s="2"/>
      <c r="AKH13" s="2"/>
      <c r="AKI13" s="2"/>
      <c r="AKJ13" s="2"/>
      <c r="AKK13" s="2"/>
      <c r="AKL13" s="2"/>
      <c r="AKM13" s="2"/>
      <c r="AKN13" s="2"/>
      <c r="AKO13" s="2"/>
      <c r="AKP13" s="2"/>
      <c r="AKQ13" s="2"/>
      <c r="AKR13" s="2"/>
      <c r="AKS13" s="2"/>
      <c r="AKT13" s="2"/>
      <c r="AKU13" s="2"/>
      <c r="AKV13" s="2"/>
      <c r="AKW13" s="2"/>
      <c r="AKX13" s="2"/>
      <c r="AKY13" s="2"/>
      <c r="AKZ13" s="2"/>
      <c r="ALA13" s="2"/>
      <c r="ALB13" s="2"/>
      <c r="ALC13" s="2"/>
      <c r="ALD13" s="2"/>
      <c r="ALE13" s="2"/>
      <c r="ALF13" s="2"/>
      <c r="ALG13" s="2"/>
      <c r="ALH13" s="2"/>
      <c r="ALI13" s="2"/>
      <c r="ALJ13" s="2"/>
      <c r="ALK13" s="2"/>
      <c r="ALL13" s="2"/>
      <c r="ALM13" s="2"/>
      <c r="ALN13" s="2"/>
      <c r="ALO13" s="2"/>
      <c r="ALP13" s="2"/>
      <c r="ALQ13" s="2"/>
      <c r="ALR13" s="2"/>
      <c r="ALS13" s="2"/>
      <c r="ALT13" s="2"/>
      <c r="ALU13" s="2"/>
      <c r="ALV13" s="2"/>
      <c r="ALW13" s="2"/>
      <c r="ALX13" s="2"/>
    </row>
    <row r="14" customFormat="false" ht="15" hidden="false" customHeight="true" outlineLevel="0" collapsed="false">
      <c r="A14" s="2"/>
      <c r="B14" s="65" t="s">
        <v>92</v>
      </c>
      <c r="C14" s="66" t="n">
        <f aca="false">VLOOKUP($B14,Unidades!$D$5:$N$31,6,FALSE())</f>
        <v>617.87</v>
      </c>
      <c r="D14" s="66" t="n">
        <f aca="false">VLOOKUP($B14,Unidades!$D$5:$N$31,7,FALSE())</f>
        <v>420.59</v>
      </c>
      <c r="E14" s="66" t="n">
        <f aca="false">VLOOKUP($B14,Unidades!$D$5:$N$31,8,FALSE())</f>
        <v>197.28</v>
      </c>
      <c r="F14" s="66" t="n">
        <f aca="false">VLOOKUP($B14,Unidades!$D$5:$N$31,9,FALSE())</f>
        <v>0</v>
      </c>
      <c r="G14" s="66" t="n">
        <f aca="false">D14+E14*$E$6+F14*$F$6</f>
        <v>489.638</v>
      </c>
      <c r="H14" s="67" t="n">
        <f aca="false">IF(G14&lt;750,1.5,IF(G14&lt;2000,2,IF(G14&lt;4000,3,12)))</f>
        <v>1.5</v>
      </c>
      <c r="I14" s="67" t="n">
        <f aca="false">$I$6*H14</f>
        <v>1.8</v>
      </c>
      <c r="J14" s="67" t="str">
        <f aca="false">VLOOKUP($B14,Unidades!$D$5:$N$31,10,FALSE())</f>
        <v>NÃO</v>
      </c>
      <c r="K14" s="67" t="str">
        <f aca="false">VLOOKUP($B14,Unidades!$D$5:$N$31,11,FALSE())</f>
        <v>NÃO</v>
      </c>
      <c r="L14" s="67" t="n">
        <f aca="false">$L$6*H14+(IF(J14="SIM",$J$6,0))</f>
        <v>1.65</v>
      </c>
      <c r="M14" s="67" t="n">
        <f aca="false">$M$6*H14+(IF(J14="SIM",$J$6,0))+(IF(K14="SIM",$K$6,0))</f>
        <v>1.65</v>
      </c>
      <c r="N14" s="67" t="n">
        <f aca="false">H14*12+I14*4+L14*2+M14</f>
        <v>30.15</v>
      </c>
      <c r="O14" s="68" t="n">
        <f aca="false">IF(K14="não", N14*(C$20+D$20),N14*(C$20+D$20)+(M14*+E$20))</f>
        <v>1476.1224729</v>
      </c>
      <c r="P14" s="69"/>
      <c r="Q14" s="24" t="str">
        <f aca="false">B14</f>
        <v>APS FARROUPILHA</v>
      </c>
      <c r="R14" s="26" t="n">
        <f aca="false">H14*($C$20+$D$20)</f>
        <v>73.438929</v>
      </c>
      <c r="S14" s="26" t="n">
        <f aca="false">I14*($C$20+$D$20)</f>
        <v>88.1267148</v>
      </c>
      <c r="T14" s="26" t="n">
        <f aca="false">L14*($C$20+$D$20)</f>
        <v>80.7828219</v>
      </c>
      <c r="U14" s="26" t="n">
        <f aca="false">IF(K14="não",M14*($C$20+$D$20),M14*(C$20+D$20+E$20))</f>
        <v>80.7828219</v>
      </c>
      <c r="V14" s="26" t="n">
        <f aca="false">VLOOKUP(Q14,'Desl. Base Caxias do Sul'!$C$5:$S$14,13,FALSE())*($C$20+$D$20+$E$20*(VLOOKUP(Q14,'Desl. Base Caxias do Sul'!$C$5:$S$14,17,FALSE())/12))</f>
        <v>42.02338715</v>
      </c>
      <c r="W14" s="26" t="n">
        <f aca="false">VLOOKUP(Q14,'Desl. Base Caxias do Sul'!$C$5:$S$14,15,FALSE())*(2+(VLOOKUP(Q14,'Desl. Base Caxias do Sul'!$C$5:$S$14,17,FALSE())/12))</f>
        <v>0</v>
      </c>
      <c r="X14" s="26" t="n">
        <f aca="false">VLOOKUP(Q14,'Desl. Base Caxias do Sul'!$C$5:$Q$14,14,FALSE())</f>
        <v>0</v>
      </c>
      <c r="Y14" s="26" t="n">
        <f aca="false">VLOOKUP(Q14,'Desl. Base Caxias do Sul'!$C$5:$Q$14,13,FALSE())*'Desl. Base Caxias do Sul'!$E$19+'Desl. Base Caxias do Sul'!$E$20*N14/12</f>
        <v>61.5359166666667</v>
      </c>
      <c r="Z14" s="26" t="n">
        <f aca="false">(H14/$AC$5)*'Equipe Técnica'!$C$13</f>
        <v>227.76337360756</v>
      </c>
      <c r="AA14" s="26" t="n">
        <f aca="false">(I14/$AC$5)*'Equipe Técnica'!$C$13</f>
        <v>273.316048329072</v>
      </c>
      <c r="AB14" s="26" t="n">
        <f aca="false">(L14/$AC$5)*'Equipe Técnica'!$C$13</f>
        <v>250.539710968316</v>
      </c>
      <c r="AC14" s="26" t="n">
        <f aca="false">(M14/$AC$5)*'Equipe Técnica'!$C$13</f>
        <v>250.539710968316</v>
      </c>
      <c r="AD14" s="26" t="n">
        <f aca="false">R14+(($V14+$W14+$X14+$Y14)*12/19)+$Z14</f>
        <v>366.608178702297</v>
      </c>
      <c r="AE14" s="26" t="n">
        <f aca="false">S14+(($V14+$W14+$X14+$Y14)*12/19)+$AA14</f>
        <v>426.848639223809</v>
      </c>
      <c r="AF14" s="26" t="n">
        <f aca="false">T14+(($V14+$W14+$X14+$Y14)*12/19)+$AB14</f>
        <v>396.728408963053</v>
      </c>
      <c r="AG14" s="26" t="n">
        <f aca="false">U14+(($V14+$W14+$X14+$Y14)*12/19)+$AC14</f>
        <v>396.728408963053</v>
      </c>
      <c r="AH14" s="2"/>
      <c r="AI14" s="24" t="str">
        <f aca="false">B14</f>
        <v>APS FARROUPILHA</v>
      </c>
      <c r="AJ14" s="70" t="n">
        <f aca="false">VLOOKUP(AI14,Unidades!D$5:H$31,5,)</f>
        <v>0.2707</v>
      </c>
      <c r="AK14" s="48" t="n">
        <f aca="false">AD14*(1+$AJ14)</f>
        <v>465.849012677008</v>
      </c>
      <c r="AL14" s="48" t="n">
        <f aca="false">AE14*(1+$AJ14)</f>
        <v>542.396565861694</v>
      </c>
      <c r="AM14" s="48" t="n">
        <f aca="false">AF14*(1+$AJ14)</f>
        <v>504.122789269351</v>
      </c>
      <c r="AN14" s="48" t="n">
        <f aca="false">AG14*(1+$AJ14)</f>
        <v>504.122789269351</v>
      </c>
      <c r="AO14" s="48" t="n">
        <f aca="false">((AK14*12)+(AL14*4)+(AM14*2)+AN14)/12</f>
        <v>772.678565281577</v>
      </c>
      <c r="AP14" s="48" t="n">
        <f aca="false">AO14*$AP$6</f>
        <v>2037.06167210598</v>
      </c>
      <c r="AQ14" s="48" t="n">
        <f aca="false">AO14+AP14</f>
        <v>2809.74023738755</v>
      </c>
      <c r="AR14" s="71"/>
      <c r="AS14" s="74" t="s">
        <v>74</v>
      </c>
      <c r="AT14" s="48" t="n">
        <f aca="false">AT10+AT12</f>
        <v>35786.1093677581</v>
      </c>
      <c r="AU14" s="48"/>
      <c r="AV14" s="73"/>
      <c r="AW14" s="73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  <c r="JL14" s="2"/>
      <c r="JM14" s="2"/>
      <c r="JN14" s="2"/>
      <c r="JO14" s="2"/>
      <c r="JP14" s="2"/>
      <c r="JQ14" s="2"/>
      <c r="JR14" s="2"/>
      <c r="JS14" s="2"/>
      <c r="JT14" s="2"/>
      <c r="JU14" s="2"/>
      <c r="JV14" s="2"/>
      <c r="JW14" s="2"/>
      <c r="JX14" s="2"/>
      <c r="JY14" s="2"/>
      <c r="JZ14" s="2"/>
      <c r="KA14" s="2"/>
      <c r="KB14" s="2"/>
      <c r="KC14" s="2"/>
      <c r="KD14" s="2"/>
      <c r="KE14" s="2"/>
      <c r="KF14" s="2"/>
      <c r="KG14" s="2"/>
      <c r="KH14" s="2"/>
      <c r="KI14" s="2"/>
      <c r="KJ14" s="2"/>
      <c r="KK14" s="2"/>
      <c r="KL14" s="2"/>
      <c r="KM14" s="2"/>
      <c r="KN14" s="2"/>
      <c r="KO14" s="2"/>
      <c r="KP14" s="2"/>
      <c r="KQ14" s="2"/>
      <c r="KR14" s="2"/>
      <c r="KS14" s="2"/>
      <c r="KT14" s="2"/>
      <c r="KU14" s="2"/>
      <c r="KV14" s="2"/>
      <c r="KW14" s="2"/>
      <c r="KX14" s="2"/>
      <c r="KY14" s="2"/>
      <c r="KZ14" s="2"/>
      <c r="LA14" s="2"/>
      <c r="LB14" s="2"/>
      <c r="LC14" s="2"/>
      <c r="LD14" s="2"/>
      <c r="LE14" s="2"/>
      <c r="LF14" s="2"/>
      <c r="LG14" s="2"/>
      <c r="LH14" s="2"/>
      <c r="LI14" s="2"/>
      <c r="LJ14" s="2"/>
      <c r="LK14" s="2"/>
      <c r="LL14" s="2"/>
      <c r="LM14" s="2"/>
      <c r="LN14" s="2"/>
      <c r="LO14" s="2"/>
      <c r="LP14" s="2"/>
      <c r="LQ14" s="2"/>
      <c r="LR14" s="2"/>
      <c r="LS14" s="2"/>
      <c r="LT14" s="2"/>
      <c r="LU14" s="2"/>
      <c r="LV14" s="2"/>
      <c r="LW14" s="2"/>
      <c r="LX14" s="2"/>
      <c r="LY14" s="2"/>
      <c r="LZ14" s="2"/>
      <c r="MA14" s="2"/>
      <c r="MB14" s="2"/>
      <c r="MC14" s="2"/>
      <c r="MD14" s="2"/>
      <c r="ME14" s="2"/>
      <c r="MF14" s="2"/>
      <c r="MG14" s="2"/>
      <c r="MH14" s="2"/>
      <c r="MI14" s="2"/>
      <c r="MJ14" s="2"/>
      <c r="MK14" s="2"/>
      <c r="ML14" s="2"/>
      <c r="MM14" s="2"/>
      <c r="MN14" s="2"/>
      <c r="MO14" s="2"/>
      <c r="MP14" s="2"/>
      <c r="MQ14" s="2"/>
      <c r="MR14" s="2"/>
      <c r="MS14" s="2"/>
      <c r="MT14" s="2"/>
      <c r="MU14" s="2"/>
      <c r="MV14" s="2"/>
      <c r="MW14" s="2"/>
      <c r="MX14" s="2"/>
      <c r="MY14" s="2"/>
      <c r="MZ14" s="2"/>
      <c r="NA14" s="2"/>
      <c r="NB14" s="2"/>
      <c r="NC14" s="2"/>
      <c r="ND14" s="2"/>
      <c r="NE14" s="2"/>
      <c r="NF14" s="2"/>
      <c r="NG14" s="2"/>
      <c r="NH14" s="2"/>
      <c r="NI14" s="2"/>
      <c r="NJ14" s="2"/>
      <c r="NK14" s="2"/>
      <c r="NL14" s="2"/>
      <c r="NM14" s="2"/>
      <c r="NN14" s="2"/>
      <c r="NO14" s="2"/>
      <c r="NP14" s="2"/>
      <c r="NQ14" s="2"/>
      <c r="NR14" s="2"/>
      <c r="NS14" s="2"/>
      <c r="NT14" s="2"/>
      <c r="NU14" s="2"/>
      <c r="NV14" s="2"/>
      <c r="NW14" s="2"/>
      <c r="NX14" s="2"/>
      <c r="NY14" s="2"/>
      <c r="NZ14" s="2"/>
      <c r="OA14" s="2"/>
      <c r="OB14" s="2"/>
      <c r="OC14" s="2"/>
      <c r="OD14" s="2"/>
      <c r="OE14" s="2"/>
      <c r="OF14" s="2"/>
      <c r="OG14" s="2"/>
      <c r="OH14" s="2"/>
      <c r="OI14" s="2"/>
      <c r="OJ14" s="2"/>
      <c r="OK14" s="2"/>
      <c r="OL14" s="2"/>
      <c r="OM14" s="2"/>
      <c r="ON14" s="2"/>
      <c r="OO14" s="2"/>
      <c r="OP14" s="2"/>
      <c r="OQ14" s="2"/>
      <c r="OR14" s="2"/>
      <c r="OS14" s="2"/>
      <c r="OT14" s="2"/>
      <c r="OU14" s="2"/>
      <c r="OV14" s="2"/>
      <c r="OW14" s="2"/>
      <c r="OX14" s="2"/>
      <c r="OY14" s="2"/>
      <c r="OZ14" s="2"/>
      <c r="PA14" s="2"/>
      <c r="PB14" s="2"/>
      <c r="PC14" s="2"/>
      <c r="PD14" s="2"/>
      <c r="PE14" s="2"/>
      <c r="PF14" s="2"/>
      <c r="PG14" s="2"/>
      <c r="PH14" s="2"/>
      <c r="PI14" s="2"/>
      <c r="PJ14" s="2"/>
      <c r="PK14" s="2"/>
      <c r="PL14" s="2"/>
      <c r="PM14" s="2"/>
      <c r="PN14" s="2"/>
      <c r="PO14" s="2"/>
      <c r="PP14" s="2"/>
      <c r="PQ14" s="2"/>
      <c r="PR14" s="2"/>
      <c r="PS14" s="2"/>
      <c r="PT14" s="2"/>
      <c r="PU14" s="2"/>
      <c r="PV14" s="2"/>
      <c r="PW14" s="2"/>
      <c r="PX14" s="2"/>
      <c r="PY14" s="2"/>
      <c r="PZ14" s="2"/>
      <c r="QA14" s="2"/>
      <c r="QB14" s="2"/>
      <c r="QC14" s="2"/>
      <c r="QD14" s="2"/>
      <c r="QE14" s="2"/>
      <c r="QF14" s="2"/>
      <c r="QG14" s="2"/>
      <c r="QH14" s="2"/>
      <c r="QI14" s="2"/>
      <c r="QJ14" s="2"/>
      <c r="QK14" s="2"/>
      <c r="QL14" s="2"/>
      <c r="QM14" s="2"/>
      <c r="QN14" s="2"/>
      <c r="QO14" s="2"/>
      <c r="QP14" s="2"/>
      <c r="QQ14" s="2"/>
      <c r="QR14" s="2"/>
      <c r="QS14" s="2"/>
      <c r="QT14" s="2"/>
      <c r="QU14" s="2"/>
      <c r="QV14" s="2"/>
      <c r="QW14" s="2"/>
      <c r="QX14" s="2"/>
      <c r="QY14" s="2"/>
      <c r="QZ14" s="2"/>
      <c r="RA14" s="2"/>
      <c r="RB14" s="2"/>
      <c r="RC14" s="2"/>
      <c r="RD14" s="2"/>
      <c r="RE14" s="2"/>
      <c r="RF14" s="2"/>
      <c r="RG14" s="2"/>
      <c r="RH14" s="2"/>
      <c r="RI14" s="2"/>
      <c r="RJ14" s="2"/>
      <c r="RK14" s="2"/>
      <c r="RL14" s="2"/>
      <c r="RM14" s="2"/>
      <c r="RN14" s="2"/>
      <c r="RO14" s="2"/>
      <c r="RP14" s="2"/>
      <c r="RQ14" s="2"/>
      <c r="RR14" s="2"/>
      <c r="RS14" s="2"/>
      <c r="RT14" s="2"/>
      <c r="RU14" s="2"/>
      <c r="RV14" s="2"/>
      <c r="RW14" s="2"/>
      <c r="RX14" s="2"/>
      <c r="RY14" s="2"/>
      <c r="RZ14" s="2"/>
      <c r="SA14" s="2"/>
      <c r="SB14" s="2"/>
      <c r="SC14" s="2"/>
      <c r="SD14" s="2"/>
      <c r="SE14" s="2"/>
      <c r="SF14" s="2"/>
      <c r="SG14" s="2"/>
      <c r="SH14" s="2"/>
      <c r="SI14" s="2"/>
      <c r="SJ14" s="2"/>
      <c r="SK14" s="2"/>
      <c r="SL14" s="2"/>
      <c r="SM14" s="2"/>
      <c r="SN14" s="2"/>
      <c r="SO14" s="2"/>
      <c r="SP14" s="2"/>
      <c r="SQ14" s="2"/>
      <c r="SR14" s="2"/>
      <c r="SS14" s="2"/>
      <c r="ST14" s="2"/>
      <c r="SU14" s="2"/>
      <c r="SV14" s="2"/>
      <c r="SW14" s="2"/>
      <c r="SX14" s="2"/>
      <c r="SY14" s="2"/>
      <c r="SZ14" s="2"/>
      <c r="TA14" s="2"/>
      <c r="TB14" s="2"/>
      <c r="TC14" s="2"/>
      <c r="TD14" s="2"/>
      <c r="TE14" s="2"/>
      <c r="TF14" s="2"/>
      <c r="TG14" s="2"/>
      <c r="TH14" s="2"/>
      <c r="TI14" s="2"/>
      <c r="TJ14" s="2"/>
      <c r="TK14" s="2"/>
      <c r="TL14" s="2"/>
      <c r="TM14" s="2"/>
      <c r="TN14" s="2"/>
      <c r="TO14" s="2"/>
      <c r="TP14" s="2"/>
      <c r="TQ14" s="2"/>
      <c r="TR14" s="2"/>
      <c r="TS14" s="2"/>
      <c r="TT14" s="2"/>
      <c r="TU14" s="2"/>
      <c r="TV14" s="2"/>
      <c r="TW14" s="2"/>
      <c r="TX14" s="2"/>
      <c r="TY14" s="2"/>
      <c r="TZ14" s="2"/>
      <c r="UA14" s="2"/>
      <c r="UB14" s="2"/>
      <c r="UC14" s="2"/>
      <c r="UD14" s="2"/>
      <c r="UE14" s="2"/>
      <c r="UF14" s="2"/>
      <c r="UG14" s="2"/>
      <c r="UH14" s="2"/>
      <c r="UI14" s="2"/>
      <c r="UJ14" s="2"/>
      <c r="UK14" s="2"/>
      <c r="UL14" s="2"/>
      <c r="UM14" s="2"/>
      <c r="UN14" s="2"/>
      <c r="UO14" s="2"/>
      <c r="UP14" s="2"/>
      <c r="UQ14" s="2"/>
      <c r="UR14" s="2"/>
      <c r="US14" s="2"/>
      <c r="UT14" s="2"/>
      <c r="UU14" s="2"/>
      <c r="UV14" s="2"/>
      <c r="UW14" s="2"/>
      <c r="UX14" s="2"/>
      <c r="UY14" s="2"/>
      <c r="UZ14" s="2"/>
      <c r="VA14" s="2"/>
      <c r="VB14" s="2"/>
      <c r="VC14" s="2"/>
      <c r="VD14" s="2"/>
      <c r="VE14" s="2"/>
      <c r="VF14" s="2"/>
      <c r="VG14" s="2"/>
      <c r="VH14" s="2"/>
      <c r="VI14" s="2"/>
      <c r="VJ14" s="2"/>
      <c r="VK14" s="2"/>
      <c r="VL14" s="2"/>
      <c r="VM14" s="2"/>
      <c r="VN14" s="2"/>
      <c r="VO14" s="2"/>
      <c r="VP14" s="2"/>
      <c r="VQ14" s="2"/>
      <c r="VR14" s="2"/>
      <c r="VS14" s="2"/>
      <c r="VT14" s="2"/>
      <c r="VU14" s="2"/>
      <c r="VV14" s="2"/>
      <c r="VW14" s="2"/>
      <c r="VX14" s="2"/>
      <c r="VY14" s="2"/>
      <c r="VZ14" s="2"/>
      <c r="WA14" s="2"/>
      <c r="WB14" s="2"/>
      <c r="WC14" s="2"/>
      <c r="WD14" s="2"/>
      <c r="WE14" s="2"/>
      <c r="WF14" s="2"/>
      <c r="WG14" s="2"/>
      <c r="WH14" s="2"/>
      <c r="WI14" s="2"/>
      <c r="WJ14" s="2"/>
      <c r="WK14" s="2"/>
      <c r="WL14" s="2"/>
      <c r="WM14" s="2"/>
      <c r="WN14" s="2"/>
      <c r="WO14" s="2"/>
      <c r="WP14" s="2"/>
      <c r="WQ14" s="2"/>
      <c r="WR14" s="2"/>
      <c r="WS14" s="2"/>
      <c r="WT14" s="2"/>
      <c r="WU14" s="2"/>
      <c r="WV14" s="2"/>
      <c r="WW14" s="2"/>
      <c r="WX14" s="2"/>
      <c r="WY14" s="2"/>
      <c r="WZ14" s="2"/>
      <c r="XA14" s="2"/>
      <c r="XB14" s="2"/>
      <c r="XC14" s="2"/>
      <c r="XD14" s="2"/>
      <c r="XE14" s="2"/>
      <c r="XF14" s="2"/>
      <c r="XG14" s="2"/>
      <c r="XH14" s="2"/>
      <c r="XI14" s="2"/>
      <c r="XJ14" s="2"/>
      <c r="XK14" s="2"/>
      <c r="XL14" s="2"/>
      <c r="XM14" s="2"/>
      <c r="XN14" s="2"/>
      <c r="XO14" s="2"/>
      <c r="XP14" s="2"/>
      <c r="XQ14" s="2"/>
      <c r="XR14" s="2"/>
      <c r="XS14" s="2"/>
      <c r="XT14" s="2"/>
      <c r="XU14" s="2"/>
      <c r="XV14" s="2"/>
      <c r="XW14" s="2"/>
      <c r="XX14" s="2"/>
      <c r="XY14" s="2"/>
      <c r="XZ14" s="2"/>
      <c r="YA14" s="2"/>
      <c r="YB14" s="2"/>
      <c r="YC14" s="2"/>
      <c r="YD14" s="2"/>
      <c r="YE14" s="2"/>
      <c r="YF14" s="2"/>
      <c r="YG14" s="2"/>
      <c r="YH14" s="2"/>
      <c r="YI14" s="2"/>
      <c r="YJ14" s="2"/>
      <c r="YK14" s="2"/>
      <c r="YL14" s="2"/>
      <c r="YM14" s="2"/>
      <c r="YN14" s="2"/>
      <c r="YO14" s="2"/>
      <c r="YP14" s="2"/>
      <c r="YQ14" s="2"/>
      <c r="YR14" s="2"/>
      <c r="YS14" s="2"/>
      <c r="YT14" s="2"/>
      <c r="YU14" s="2"/>
      <c r="YV14" s="2"/>
      <c r="YW14" s="2"/>
      <c r="YX14" s="2"/>
      <c r="YY14" s="2"/>
      <c r="YZ14" s="2"/>
      <c r="ZA14" s="2"/>
      <c r="ZB14" s="2"/>
      <c r="ZC14" s="2"/>
      <c r="ZD14" s="2"/>
      <c r="ZE14" s="2"/>
      <c r="ZF14" s="2"/>
      <c r="ZG14" s="2"/>
      <c r="ZH14" s="2"/>
      <c r="ZI14" s="2"/>
      <c r="ZJ14" s="2"/>
      <c r="ZK14" s="2"/>
      <c r="ZL14" s="2"/>
      <c r="ZM14" s="2"/>
      <c r="ZN14" s="2"/>
      <c r="ZO14" s="2"/>
      <c r="ZP14" s="2"/>
      <c r="ZQ14" s="2"/>
      <c r="ZR14" s="2"/>
      <c r="ZS14" s="2"/>
      <c r="ZT14" s="2"/>
      <c r="ZU14" s="2"/>
      <c r="ZV14" s="2"/>
      <c r="ZW14" s="2"/>
      <c r="ZX14" s="2"/>
      <c r="ZY14" s="2"/>
      <c r="ZZ14" s="2"/>
      <c r="AAA14" s="2"/>
      <c r="AAB14" s="2"/>
      <c r="AAC14" s="2"/>
      <c r="AAD14" s="2"/>
      <c r="AAE14" s="2"/>
      <c r="AAF14" s="2"/>
      <c r="AAG14" s="2"/>
      <c r="AAH14" s="2"/>
      <c r="AAI14" s="2"/>
      <c r="AAJ14" s="2"/>
      <c r="AAK14" s="2"/>
      <c r="AAL14" s="2"/>
      <c r="AAM14" s="2"/>
      <c r="AAN14" s="2"/>
      <c r="AAO14" s="2"/>
      <c r="AAP14" s="2"/>
      <c r="AAQ14" s="2"/>
      <c r="AAR14" s="2"/>
      <c r="AAS14" s="2"/>
      <c r="AAT14" s="2"/>
      <c r="AAU14" s="2"/>
      <c r="AAV14" s="2"/>
      <c r="AAW14" s="2"/>
      <c r="AAX14" s="2"/>
      <c r="AAY14" s="2"/>
      <c r="AAZ14" s="2"/>
      <c r="ABA14" s="2"/>
      <c r="ABB14" s="2"/>
      <c r="ABC14" s="2"/>
      <c r="ABD14" s="2"/>
      <c r="ABE14" s="2"/>
      <c r="ABF14" s="2"/>
      <c r="ABG14" s="2"/>
      <c r="ABH14" s="2"/>
      <c r="ABI14" s="2"/>
      <c r="ABJ14" s="2"/>
      <c r="ABK14" s="2"/>
      <c r="ABL14" s="2"/>
      <c r="ABM14" s="2"/>
      <c r="ABN14" s="2"/>
      <c r="ABO14" s="2"/>
      <c r="ABP14" s="2"/>
      <c r="ABQ14" s="2"/>
      <c r="ABR14" s="2"/>
      <c r="ABS14" s="2"/>
      <c r="ABT14" s="2"/>
      <c r="ABU14" s="2"/>
      <c r="ABV14" s="2"/>
      <c r="ABW14" s="2"/>
      <c r="ABX14" s="2"/>
      <c r="ABY14" s="2"/>
      <c r="ABZ14" s="2"/>
      <c r="ACA14" s="2"/>
      <c r="ACB14" s="2"/>
      <c r="ACC14" s="2"/>
      <c r="ACD14" s="2"/>
      <c r="ACE14" s="2"/>
      <c r="ACF14" s="2"/>
      <c r="ACG14" s="2"/>
      <c r="ACH14" s="2"/>
      <c r="ACI14" s="2"/>
      <c r="ACJ14" s="2"/>
      <c r="ACK14" s="2"/>
      <c r="ACL14" s="2"/>
      <c r="ACM14" s="2"/>
      <c r="ACN14" s="2"/>
      <c r="ACO14" s="2"/>
      <c r="ACP14" s="2"/>
      <c r="ACQ14" s="2"/>
      <c r="ACR14" s="2"/>
      <c r="ACS14" s="2"/>
      <c r="ACT14" s="2"/>
      <c r="ACU14" s="2"/>
      <c r="ACV14" s="2"/>
      <c r="ACW14" s="2"/>
      <c r="ACX14" s="2"/>
      <c r="ACY14" s="2"/>
      <c r="ACZ14" s="2"/>
      <c r="ADA14" s="2"/>
      <c r="ADB14" s="2"/>
      <c r="ADC14" s="2"/>
      <c r="ADD14" s="2"/>
      <c r="ADE14" s="2"/>
      <c r="ADF14" s="2"/>
      <c r="ADG14" s="2"/>
      <c r="ADH14" s="2"/>
      <c r="ADI14" s="2"/>
      <c r="ADJ14" s="2"/>
      <c r="ADK14" s="2"/>
      <c r="ADL14" s="2"/>
      <c r="ADM14" s="2"/>
      <c r="ADN14" s="2"/>
      <c r="ADO14" s="2"/>
      <c r="ADP14" s="2"/>
      <c r="ADQ14" s="2"/>
      <c r="ADR14" s="2"/>
      <c r="ADS14" s="2"/>
      <c r="ADT14" s="2"/>
      <c r="ADU14" s="2"/>
      <c r="ADV14" s="2"/>
      <c r="ADW14" s="2"/>
      <c r="ADX14" s="2"/>
      <c r="ADY14" s="2"/>
      <c r="ADZ14" s="2"/>
      <c r="AEA14" s="2"/>
      <c r="AEB14" s="2"/>
      <c r="AEC14" s="2"/>
      <c r="AED14" s="2"/>
      <c r="AEE14" s="2"/>
      <c r="AEF14" s="2"/>
      <c r="AEG14" s="2"/>
      <c r="AEH14" s="2"/>
      <c r="AEI14" s="2"/>
      <c r="AEJ14" s="2"/>
      <c r="AEK14" s="2"/>
      <c r="AEL14" s="2"/>
      <c r="AEM14" s="2"/>
      <c r="AEN14" s="2"/>
      <c r="AEO14" s="2"/>
      <c r="AEP14" s="2"/>
      <c r="AEQ14" s="2"/>
      <c r="AER14" s="2"/>
      <c r="AES14" s="2"/>
      <c r="AET14" s="2"/>
      <c r="AEU14" s="2"/>
      <c r="AEV14" s="2"/>
      <c r="AEW14" s="2"/>
      <c r="AEX14" s="2"/>
      <c r="AEY14" s="2"/>
      <c r="AEZ14" s="2"/>
      <c r="AFA14" s="2"/>
      <c r="AFB14" s="2"/>
      <c r="AFC14" s="2"/>
      <c r="AFD14" s="2"/>
      <c r="AFE14" s="2"/>
      <c r="AFF14" s="2"/>
      <c r="AFG14" s="2"/>
      <c r="AFH14" s="2"/>
      <c r="AFI14" s="2"/>
      <c r="AFJ14" s="2"/>
      <c r="AFK14" s="2"/>
      <c r="AFL14" s="2"/>
      <c r="AFM14" s="2"/>
      <c r="AFN14" s="2"/>
      <c r="AFO14" s="2"/>
      <c r="AFP14" s="2"/>
      <c r="AFQ14" s="2"/>
      <c r="AFR14" s="2"/>
      <c r="AFS14" s="2"/>
      <c r="AFT14" s="2"/>
      <c r="AFU14" s="2"/>
      <c r="AFV14" s="2"/>
      <c r="AFW14" s="2"/>
      <c r="AFX14" s="2"/>
      <c r="AFY14" s="2"/>
      <c r="AFZ14" s="2"/>
      <c r="AGA14" s="2"/>
      <c r="AGB14" s="2"/>
      <c r="AGC14" s="2"/>
      <c r="AGD14" s="2"/>
      <c r="AGE14" s="2"/>
      <c r="AGF14" s="2"/>
      <c r="AGG14" s="2"/>
      <c r="AGH14" s="2"/>
      <c r="AGI14" s="2"/>
      <c r="AGJ14" s="2"/>
      <c r="AGK14" s="2"/>
      <c r="AGL14" s="2"/>
      <c r="AGM14" s="2"/>
      <c r="AGN14" s="2"/>
      <c r="AGO14" s="2"/>
      <c r="AGP14" s="2"/>
      <c r="AGQ14" s="2"/>
      <c r="AGR14" s="2"/>
      <c r="AGS14" s="2"/>
      <c r="AGT14" s="2"/>
      <c r="AGU14" s="2"/>
      <c r="AGV14" s="2"/>
      <c r="AGW14" s="2"/>
      <c r="AGX14" s="2"/>
      <c r="AGY14" s="2"/>
      <c r="AGZ14" s="2"/>
      <c r="AHA14" s="2"/>
      <c r="AHB14" s="2"/>
      <c r="AHC14" s="2"/>
      <c r="AHD14" s="2"/>
      <c r="AHE14" s="2"/>
      <c r="AHF14" s="2"/>
      <c r="AHG14" s="2"/>
      <c r="AHH14" s="2"/>
      <c r="AHI14" s="2"/>
      <c r="AHJ14" s="2"/>
      <c r="AHK14" s="2"/>
      <c r="AHL14" s="2"/>
      <c r="AHM14" s="2"/>
      <c r="AHN14" s="2"/>
      <c r="AHO14" s="2"/>
      <c r="AHP14" s="2"/>
      <c r="AHQ14" s="2"/>
      <c r="AHR14" s="2"/>
      <c r="AHS14" s="2"/>
      <c r="AHT14" s="2"/>
      <c r="AHU14" s="2"/>
      <c r="AHV14" s="2"/>
      <c r="AHW14" s="2"/>
      <c r="AHX14" s="2"/>
      <c r="AHY14" s="2"/>
      <c r="AHZ14" s="2"/>
      <c r="AIA14" s="2"/>
      <c r="AIB14" s="2"/>
      <c r="AIC14" s="2"/>
      <c r="AID14" s="2"/>
      <c r="AIE14" s="2"/>
      <c r="AIF14" s="2"/>
      <c r="AIG14" s="2"/>
      <c r="AIH14" s="2"/>
      <c r="AII14" s="2"/>
      <c r="AIJ14" s="2"/>
      <c r="AIK14" s="2"/>
      <c r="AIL14" s="2"/>
      <c r="AIM14" s="2"/>
      <c r="AIN14" s="2"/>
      <c r="AIO14" s="2"/>
      <c r="AIP14" s="2"/>
      <c r="AIQ14" s="2"/>
      <c r="AIR14" s="2"/>
      <c r="AIS14" s="2"/>
      <c r="AIT14" s="2"/>
      <c r="AIU14" s="2"/>
      <c r="AIV14" s="2"/>
      <c r="AIW14" s="2"/>
      <c r="AIX14" s="2"/>
      <c r="AIY14" s="2"/>
      <c r="AIZ14" s="2"/>
      <c r="AJA14" s="2"/>
      <c r="AJB14" s="2"/>
      <c r="AJC14" s="2"/>
      <c r="AJD14" s="2"/>
      <c r="AJE14" s="2"/>
      <c r="AJF14" s="2"/>
      <c r="AJG14" s="2"/>
      <c r="AJH14" s="2"/>
      <c r="AJI14" s="2"/>
      <c r="AJJ14" s="2"/>
      <c r="AJK14" s="2"/>
      <c r="AJL14" s="2"/>
      <c r="AJM14" s="2"/>
      <c r="AJN14" s="2"/>
      <c r="AJO14" s="2"/>
      <c r="AJP14" s="2"/>
      <c r="AJQ14" s="2"/>
      <c r="AJR14" s="2"/>
      <c r="AJS14" s="2"/>
      <c r="AJT14" s="2"/>
      <c r="AJU14" s="2"/>
      <c r="AJV14" s="2"/>
      <c r="AJW14" s="2"/>
      <c r="AJX14" s="2"/>
      <c r="AJY14" s="2"/>
      <c r="AJZ14" s="2"/>
      <c r="AKA14" s="2"/>
      <c r="AKB14" s="2"/>
      <c r="AKC14" s="2"/>
      <c r="AKD14" s="2"/>
      <c r="AKE14" s="2"/>
      <c r="AKF14" s="2"/>
      <c r="AKG14" s="2"/>
      <c r="AKH14" s="2"/>
      <c r="AKI14" s="2"/>
      <c r="AKJ14" s="2"/>
      <c r="AKK14" s="2"/>
      <c r="AKL14" s="2"/>
      <c r="AKM14" s="2"/>
      <c r="AKN14" s="2"/>
      <c r="AKO14" s="2"/>
      <c r="AKP14" s="2"/>
      <c r="AKQ14" s="2"/>
      <c r="AKR14" s="2"/>
      <c r="AKS14" s="2"/>
      <c r="AKT14" s="2"/>
      <c r="AKU14" s="2"/>
      <c r="AKV14" s="2"/>
      <c r="AKW14" s="2"/>
      <c r="AKX14" s="2"/>
      <c r="AKY14" s="2"/>
      <c r="AKZ14" s="2"/>
      <c r="ALA14" s="2"/>
      <c r="ALB14" s="2"/>
      <c r="ALC14" s="2"/>
      <c r="ALD14" s="2"/>
      <c r="ALE14" s="2"/>
      <c r="ALF14" s="2"/>
      <c r="ALG14" s="2"/>
      <c r="ALH14" s="2"/>
      <c r="ALI14" s="2"/>
      <c r="ALJ14" s="2"/>
      <c r="ALK14" s="2"/>
      <c r="ALL14" s="2"/>
      <c r="ALM14" s="2"/>
      <c r="ALN14" s="2"/>
      <c r="ALO14" s="2"/>
      <c r="ALP14" s="2"/>
      <c r="ALQ14" s="2"/>
      <c r="ALR14" s="2"/>
      <c r="ALS14" s="2"/>
      <c r="ALT14" s="2"/>
      <c r="ALU14" s="2"/>
      <c r="ALV14" s="2"/>
      <c r="ALW14" s="2"/>
      <c r="ALX14" s="2"/>
    </row>
    <row r="15" customFormat="false" ht="15" hidden="false" customHeight="true" outlineLevel="0" collapsed="false">
      <c r="A15" s="2"/>
      <c r="B15" s="65" t="s">
        <v>93</v>
      </c>
      <c r="C15" s="66" t="n">
        <f aca="false">VLOOKUP($B15,Unidades!$D$5:$N$31,6,FALSE())</f>
        <v>1354.16</v>
      </c>
      <c r="D15" s="66" t="n">
        <f aca="false">VLOOKUP($B15,Unidades!$D$5:$N$31,7,FALSE())</f>
        <v>771.34</v>
      </c>
      <c r="E15" s="66" t="n">
        <f aca="false">VLOOKUP($B15,Unidades!$D$5:$N$31,8,FALSE())</f>
        <v>241.24</v>
      </c>
      <c r="F15" s="66" t="n">
        <f aca="false">VLOOKUP($B15,Unidades!$D$5:$N$31,9,FALSE())</f>
        <v>341.58</v>
      </c>
      <c r="G15" s="66" t="n">
        <f aca="false">D15+E15*$E$6+F15*$F$6</f>
        <v>889.932</v>
      </c>
      <c r="H15" s="67" t="n">
        <f aca="false">IF(G15&lt;750,1.5,IF(G15&lt;2000,2,IF(G15&lt;4000,3,12)))</f>
        <v>2</v>
      </c>
      <c r="I15" s="67" t="n">
        <f aca="false">$I$6*H15</f>
        <v>2.4</v>
      </c>
      <c r="J15" s="67" t="str">
        <f aca="false">VLOOKUP($B15,Unidades!$D$5:$N$31,10,FALSE())</f>
        <v>NÃO</v>
      </c>
      <c r="K15" s="67" t="str">
        <f aca="false">VLOOKUP($B15,Unidades!$D$5:$N$31,11,FALSE())</f>
        <v>SIM</v>
      </c>
      <c r="L15" s="67" t="n">
        <f aca="false">$L$6*H15+(IF(J15="SIM",$J$6,0))</f>
        <v>2.2</v>
      </c>
      <c r="M15" s="67" t="n">
        <f aca="false">$M$6*H15+(IF(J15="SIM",$J$6,0))+(IF(K15="SIM",$K$6,0))</f>
        <v>6.2</v>
      </c>
      <c r="N15" s="67" t="n">
        <f aca="false">H15*12+I15*4+L15*2+M15</f>
        <v>44.2</v>
      </c>
      <c r="O15" s="68" t="n">
        <f aca="false">IF(K15="não", N15*(C$20+D$20),N15*(C$20+D$20)+(M15*+E$20))</f>
        <v>2368.3524412</v>
      </c>
      <c r="P15" s="69"/>
      <c r="Q15" s="24" t="str">
        <f aca="false">B15</f>
        <v>APS CANELA</v>
      </c>
      <c r="R15" s="26" t="n">
        <f aca="false">H15*($C$20+$D$20)</f>
        <v>97.918572</v>
      </c>
      <c r="S15" s="26" t="n">
        <f aca="false">I15*($C$20+$D$20)</f>
        <v>117.5022864</v>
      </c>
      <c r="T15" s="26" t="n">
        <f aca="false">L15*($C$20+$D$20)</f>
        <v>107.7104292</v>
      </c>
      <c r="U15" s="26" t="n">
        <f aca="false">IF(K15="não",M15*($C$20+$D$20),M15*(C$20+D$20+E$20))</f>
        <v>507.8995732</v>
      </c>
      <c r="V15" s="26" t="n">
        <f aca="false">VLOOKUP(Q15,'Desl. Base Caxias do Sul'!$C$5:$S$14,13,FALSE())*($C$20+$D$20+$E$20*(VLOOKUP(Q15,'Desl. Base Caxias do Sul'!$C$5:$S$14,17,FALSE())/12))</f>
        <v>155.117858</v>
      </c>
      <c r="W15" s="26" t="n">
        <f aca="false">VLOOKUP(Q15,'Desl. Base Caxias do Sul'!$C$5:$S$14,15,FALSE())*(2+(VLOOKUP(Q15,'Desl. Base Caxias do Sul'!$C$5:$S$14,17,FALSE())/12))</f>
        <v>0</v>
      </c>
      <c r="X15" s="26" t="n">
        <f aca="false">VLOOKUP(Q15,'Desl. Base Caxias do Sul'!$C$5:$Q$14,14,FALSE())</f>
        <v>14.2</v>
      </c>
      <c r="Y15" s="26" t="n">
        <f aca="false">VLOOKUP(Q15,'Desl. Base Caxias do Sul'!$C$5:$Q$14,13,FALSE())*'Desl. Base Caxias do Sul'!$E$19+'Desl. Base Caxias do Sul'!$E$20*N15/12</f>
        <v>181.632666666667</v>
      </c>
      <c r="Z15" s="26" t="n">
        <f aca="false">(H15/$AC$5)*'Equipe Técnica'!$C$13</f>
        <v>303.684498143413</v>
      </c>
      <c r="AA15" s="26" t="n">
        <f aca="false">(I15/$AC$5)*'Equipe Técnica'!$C$13</f>
        <v>364.421397772096</v>
      </c>
      <c r="AB15" s="26" t="n">
        <f aca="false">(L15/$AC$5)*'Equipe Técnica'!$C$13</f>
        <v>334.052947957754</v>
      </c>
      <c r="AC15" s="26" t="n">
        <f aca="false">(M15/$AC$5)*'Equipe Técnica'!$C$13</f>
        <v>941.42194424458</v>
      </c>
      <c r="AD15" s="26" t="n">
        <f aca="false">R15+(($V15+$W15+$X15+$Y15)*12/19)+$Z15</f>
        <v>623.256033090781</v>
      </c>
      <c r="AE15" s="26" t="n">
        <f aca="false">S15+(($V15+$W15+$X15+$Y15)*12/19)+$AA15</f>
        <v>703.576647119464</v>
      </c>
      <c r="AF15" s="26" t="n">
        <f aca="false">T15+(($V15+$W15+$X15+$Y15)*12/19)+$AB15</f>
        <v>663.416340105123</v>
      </c>
      <c r="AG15" s="26" t="n">
        <f aca="false">U15+(($V15+$W15+$X15+$Y15)*12/19)+$AC15</f>
        <v>1670.97448039195</v>
      </c>
      <c r="AH15" s="2"/>
      <c r="AI15" s="24" t="str">
        <f aca="false">B15</f>
        <v>APS CANELA</v>
      </c>
      <c r="AJ15" s="70" t="n">
        <f aca="false">VLOOKUP(AI15,Unidades!D$5:H$31,5,)</f>
        <v>0.2849</v>
      </c>
      <c r="AK15" s="48" t="n">
        <f aca="false">AD15*(1+$AJ15)</f>
        <v>800.821676918345</v>
      </c>
      <c r="AL15" s="48" t="n">
        <f aca="false">AE15*(1+$AJ15)</f>
        <v>904.025633883799</v>
      </c>
      <c r="AM15" s="48" t="n">
        <f aca="false">AF15*(1+$AJ15)</f>
        <v>852.423655401072</v>
      </c>
      <c r="AN15" s="48" t="n">
        <f aca="false">AG15*(1+$AJ15)</f>
        <v>2147.03510985562</v>
      </c>
      <c r="AO15" s="48" t="n">
        <f aca="false">((AK15*12)+(AL15*4)+(AM15*2)+AN15)/12</f>
        <v>1423.15375660109</v>
      </c>
      <c r="AP15" s="48" t="n">
        <f aca="false">AO15*$AP$6</f>
        <v>3751.95081285742</v>
      </c>
      <c r="AQ15" s="48" t="n">
        <f aca="false">AO15+AP15</f>
        <v>5175.10456945851</v>
      </c>
      <c r="AR15" s="71"/>
      <c r="AS15" s="74" t="s">
        <v>94</v>
      </c>
      <c r="AT15" s="48" t="n">
        <f aca="false">AT11+AT13</f>
        <v>429433.312413098</v>
      </c>
      <c r="AU15" s="48"/>
      <c r="AV15" s="71"/>
      <c r="AW15" s="71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  <c r="JD15" s="2"/>
      <c r="JE15" s="2"/>
      <c r="JF15" s="2"/>
      <c r="JG15" s="2"/>
      <c r="JH15" s="2"/>
      <c r="JI15" s="2"/>
      <c r="JJ15" s="2"/>
      <c r="JK15" s="2"/>
      <c r="JL15" s="2"/>
      <c r="JM15" s="2"/>
      <c r="JN15" s="2"/>
      <c r="JO15" s="2"/>
      <c r="JP15" s="2"/>
      <c r="JQ15" s="2"/>
      <c r="JR15" s="2"/>
      <c r="JS15" s="2"/>
      <c r="JT15" s="2"/>
      <c r="JU15" s="2"/>
      <c r="JV15" s="2"/>
      <c r="JW15" s="2"/>
      <c r="JX15" s="2"/>
      <c r="JY15" s="2"/>
      <c r="JZ15" s="2"/>
      <c r="KA15" s="2"/>
      <c r="KB15" s="2"/>
      <c r="KC15" s="2"/>
      <c r="KD15" s="2"/>
      <c r="KE15" s="2"/>
      <c r="KF15" s="2"/>
      <c r="KG15" s="2"/>
      <c r="KH15" s="2"/>
      <c r="KI15" s="2"/>
      <c r="KJ15" s="2"/>
      <c r="KK15" s="2"/>
      <c r="KL15" s="2"/>
      <c r="KM15" s="2"/>
      <c r="KN15" s="2"/>
      <c r="KO15" s="2"/>
      <c r="KP15" s="2"/>
      <c r="KQ15" s="2"/>
      <c r="KR15" s="2"/>
      <c r="KS15" s="2"/>
      <c r="KT15" s="2"/>
      <c r="KU15" s="2"/>
      <c r="KV15" s="2"/>
      <c r="KW15" s="2"/>
      <c r="KX15" s="2"/>
      <c r="KY15" s="2"/>
      <c r="KZ15" s="2"/>
      <c r="LA15" s="2"/>
      <c r="LB15" s="2"/>
      <c r="LC15" s="2"/>
      <c r="LD15" s="2"/>
      <c r="LE15" s="2"/>
      <c r="LF15" s="2"/>
      <c r="LG15" s="2"/>
      <c r="LH15" s="2"/>
      <c r="LI15" s="2"/>
      <c r="LJ15" s="2"/>
      <c r="LK15" s="2"/>
      <c r="LL15" s="2"/>
      <c r="LM15" s="2"/>
      <c r="LN15" s="2"/>
      <c r="LO15" s="2"/>
      <c r="LP15" s="2"/>
      <c r="LQ15" s="2"/>
      <c r="LR15" s="2"/>
      <c r="LS15" s="2"/>
      <c r="LT15" s="2"/>
      <c r="LU15" s="2"/>
      <c r="LV15" s="2"/>
      <c r="LW15" s="2"/>
      <c r="LX15" s="2"/>
      <c r="LY15" s="2"/>
      <c r="LZ15" s="2"/>
      <c r="MA15" s="2"/>
      <c r="MB15" s="2"/>
      <c r="MC15" s="2"/>
      <c r="MD15" s="2"/>
      <c r="ME15" s="2"/>
      <c r="MF15" s="2"/>
      <c r="MG15" s="2"/>
      <c r="MH15" s="2"/>
      <c r="MI15" s="2"/>
      <c r="MJ15" s="2"/>
      <c r="MK15" s="2"/>
      <c r="ML15" s="2"/>
      <c r="MM15" s="2"/>
      <c r="MN15" s="2"/>
      <c r="MO15" s="2"/>
      <c r="MP15" s="2"/>
      <c r="MQ15" s="2"/>
      <c r="MR15" s="2"/>
      <c r="MS15" s="2"/>
      <c r="MT15" s="2"/>
      <c r="MU15" s="2"/>
      <c r="MV15" s="2"/>
      <c r="MW15" s="2"/>
      <c r="MX15" s="2"/>
      <c r="MY15" s="2"/>
      <c r="MZ15" s="2"/>
      <c r="NA15" s="2"/>
      <c r="NB15" s="2"/>
      <c r="NC15" s="2"/>
      <c r="ND15" s="2"/>
      <c r="NE15" s="2"/>
      <c r="NF15" s="2"/>
      <c r="NG15" s="2"/>
      <c r="NH15" s="2"/>
      <c r="NI15" s="2"/>
      <c r="NJ15" s="2"/>
      <c r="NK15" s="2"/>
      <c r="NL15" s="2"/>
      <c r="NM15" s="2"/>
      <c r="NN15" s="2"/>
      <c r="NO15" s="2"/>
      <c r="NP15" s="2"/>
      <c r="NQ15" s="2"/>
      <c r="NR15" s="2"/>
      <c r="NS15" s="2"/>
      <c r="NT15" s="2"/>
      <c r="NU15" s="2"/>
      <c r="NV15" s="2"/>
      <c r="NW15" s="2"/>
      <c r="NX15" s="2"/>
      <c r="NY15" s="2"/>
      <c r="NZ15" s="2"/>
      <c r="OA15" s="2"/>
      <c r="OB15" s="2"/>
      <c r="OC15" s="2"/>
      <c r="OD15" s="2"/>
      <c r="OE15" s="2"/>
      <c r="OF15" s="2"/>
      <c r="OG15" s="2"/>
      <c r="OH15" s="2"/>
      <c r="OI15" s="2"/>
      <c r="OJ15" s="2"/>
      <c r="OK15" s="2"/>
      <c r="OL15" s="2"/>
      <c r="OM15" s="2"/>
      <c r="ON15" s="2"/>
      <c r="OO15" s="2"/>
      <c r="OP15" s="2"/>
      <c r="OQ15" s="2"/>
      <c r="OR15" s="2"/>
      <c r="OS15" s="2"/>
      <c r="OT15" s="2"/>
      <c r="OU15" s="2"/>
      <c r="OV15" s="2"/>
      <c r="OW15" s="2"/>
      <c r="OX15" s="2"/>
      <c r="OY15" s="2"/>
      <c r="OZ15" s="2"/>
      <c r="PA15" s="2"/>
      <c r="PB15" s="2"/>
      <c r="PC15" s="2"/>
      <c r="PD15" s="2"/>
      <c r="PE15" s="2"/>
      <c r="PF15" s="2"/>
      <c r="PG15" s="2"/>
      <c r="PH15" s="2"/>
      <c r="PI15" s="2"/>
      <c r="PJ15" s="2"/>
      <c r="PK15" s="2"/>
      <c r="PL15" s="2"/>
      <c r="PM15" s="2"/>
      <c r="PN15" s="2"/>
      <c r="PO15" s="2"/>
      <c r="PP15" s="2"/>
      <c r="PQ15" s="2"/>
      <c r="PR15" s="2"/>
      <c r="PS15" s="2"/>
      <c r="PT15" s="2"/>
      <c r="PU15" s="2"/>
      <c r="PV15" s="2"/>
      <c r="PW15" s="2"/>
      <c r="PX15" s="2"/>
      <c r="PY15" s="2"/>
      <c r="PZ15" s="2"/>
      <c r="QA15" s="2"/>
      <c r="QB15" s="2"/>
      <c r="QC15" s="2"/>
      <c r="QD15" s="2"/>
      <c r="QE15" s="2"/>
      <c r="QF15" s="2"/>
      <c r="QG15" s="2"/>
      <c r="QH15" s="2"/>
      <c r="QI15" s="2"/>
      <c r="QJ15" s="2"/>
      <c r="QK15" s="2"/>
      <c r="QL15" s="2"/>
      <c r="QM15" s="2"/>
      <c r="QN15" s="2"/>
      <c r="QO15" s="2"/>
      <c r="QP15" s="2"/>
      <c r="QQ15" s="2"/>
      <c r="QR15" s="2"/>
      <c r="QS15" s="2"/>
      <c r="QT15" s="2"/>
      <c r="QU15" s="2"/>
      <c r="QV15" s="2"/>
      <c r="QW15" s="2"/>
      <c r="QX15" s="2"/>
      <c r="QY15" s="2"/>
      <c r="QZ15" s="2"/>
      <c r="RA15" s="2"/>
      <c r="RB15" s="2"/>
      <c r="RC15" s="2"/>
      <c r="RD15" s="2"/>
      <c r="RE15" s="2"/>
      <c r="RF15" s="2"/>
      <c r="RG15" s="2"/>
      <c r="RH15" s="2"/>
      <c r="RI15" s="2"/>
      <c r="RJ15" s="2"/>
      <c r="RK15" s="2"/>
      <c r="RL15" s="2"/>
      <c r="RM15" s="2"/>
      <c r="RN15" s="2"/>
      <c r="RO15" s="2"/>
      <c r="RP15" s="2"/>
      <c r="RQ15" s="2"/>
      <c r="RR15" s="2"/>
      <c r="RS15" s="2"/>
      <c r="RT15" s="2"/>
      <c r="RU15" s="2"/>
      <c r="RV15" s="2"/>
      <c r="RW15" s="2"/>
      <c r="RX15" s="2"/>
      <c r="RY15" s="2"/>
      <c r="RZ15" s="2"/>
      <c r="SA15" s="2"/>
      <c r="SB15" s="2"/>
      <c r="SC15" s="2"/>
      <c r="SD15" s="2"/>
      <c r="SE15" s="2"/>
      <c r="SF15" s="2"/>
      <c r="SG15" s="2"/>
      <c r="SH15" s="2"/>
      <c r="SI15" s="2"/>
      <c r="SJ15" s="2"/>
      <c r="SK15" s="2"/>
      <c r="SL15" s="2"/>
      <c r="SM15" s="2"/>
      <c r="SN15" s="2"/>
      <c r="SO15" s="2"/>
      <c r="SP15" s="2"/>
      <c r="SQ15" s="2"/>
      <c r="SR15" s="2"/>
      <c r="SS15" s="2"/>
      <c r="ST15" s="2"/>
      <c r="SU15" s="2"/>
      <c r="SV15" s="2"/>
      <c r="SW15" s="2"/>
      <c r="SX15" s="2"/>
      <c r="SY15" s="2"/>
      <c r="SZ15" s="2"/>
      <c r="TA15" s="2"/>
      <c r="TB15" s="2"/>
      <c r="TC15" s="2"/>
      <c r="TD15" s="2"/>
      <c r="TE15" s="2"/>
      <c r="TF15" s="2"/>
      <c r="TG15" s="2"/>
      <c r="TH15" s="2"/>
      <c r="TI15" s="2"/>
      <c r="TJ15" s="2"/>
      <c r="TK15" s="2"/>
      <c r="TL15" s="2"/>
      <c r="TM15" s="2"/>
      <c r="TN15" s="2"/>
      <c r="TO15" s="2"/>
      <c r="TP15" s="2"/>
      <c r="TQ15" s="2"/>
      <c r="TR15" s="2"/>
      <c r="TS15" s="2"/>
      <c r="TT15" s="2"/>
      <c r="TU15" s="2"/>
      <c r="TV15" s="2"/>
      <c r="TW15" s="2"/>
      <c r="TX15" s="2"/>
      <c r="TY15" s="2"/>
      <c r="TZ15" s="2"/>
      <c r="UA15" s="2"/>
      <c r="UB15" s="2"/>
      <c r="UC15" s="2"/>
      <c r="UD15" s="2"/>
      <c r="UE15" s="2"/>
      <c r="UF15" s="2"/>
      <c r="UG15" s="2"/>
      <c r="UH15" s="2"/>
      <c r="UI15" s="2"/>
      <c r="UJ15" s="2"/>
      <c r="UK15" s="2"/>
      <c r="UL15" s="2"/>
      <c r="UM15" s="2"/>
      <c r="UN15" s="2"/>
      <c r="UO15" s="2"/>
      <c r="UP15" s="2"/>
      <c r="UQ15" s="2"/>
      <c r="UR15" s="2"/>
      <c r="US15" s="2"/>
      <c r="UT15" s="2"/>
      <c r="UU15" s="2"/>
      <c r="UV15" s="2"/>
      <c r="UW15" s="2"/>
      <c r="UX15" s="2"/>
      <c r="UY15" s="2"/>
      <c r="UZ15" s="2"/>
      <c r="VA15" s="2"/>
      <c r="VB15" s="2"/>
      <c r="VC15" s="2"/>
      <c r="VD15" s="2"/>
      <c r="VE15" s="2"/>
      <c r="VF15" s="2"/>
      <c r="VG15" s="2"/>
      <c r="VH15" s="2"/>
      <c r="VI15" s="2"/>
      <c r="VJ15" s="2"/>
      <c r="VK15" s="2"/>
      <c r="VL15" s="2"/>
      <c r="VM15" s="2"/>
      <c r="VN15" s="2"/>
      <c r="VO15" s="2"/>
      <c r="VP15" s="2"/>
      <c r="VQ15" s="2"/>
      <c r="VR15" s="2"/>
      <c r="VS15" s="2"/>
      <c r="VT15" s="2"/>
      <c r="VU15" s="2"/>
      <c r="VV15" s="2"/>
      <c r="VW15" s="2"/>
      <c r="VX15" s="2"/>
      <c r="VY15" s="2"/>
      <c r="VZ15" s="2"/>
      <c r="WA15" s="2"/>
      <c r="WB15" s="2"/>
      <c r="WC15" s="2"/>
      <c r="WD15" s="2"/>
      <c r="WE15" s="2"/>
      <c r="WF15" s="2"/>
      <c r="WG15" s="2"/>
      <c r="WH15" s="2"/>
      <c r="WI15" s="2"/>
      <c r="WJ15" s="2"/>
      <c r="WK15" s="2"/>
      <c r="WL15" s="2"/>
      <c r="WM15" s="2"/>
      <c r="WN15" s="2"/>
      <c r="WO15" s="2"/>
      <c r="WP15" s="2"/>
      <c r="WQ15" s="2"/>
      <c r="WR15" s="2"/>
      <c r="WS15" s="2"/>
      <c r="WT15" s="2"/>
      <c r="WU15" s="2"/>
      <c r="WV15" s="2"/>
      <c r="WW15" s="2"/>
      <c r="WX15" s="2"/>
      <c r="WY15" s="2"/>
      <c r="WZ15" s="2"/>
      <c r="XA15" s="2"/>
      <c r="XB15" s="2"/>
      <c r="XC15" s="2"/>
      <c r="XD15" s="2"/>
      <c r="XE15" s="2"/>
      <c r="XF15" s="2"/>
      <c r="XG15" s="2"/>
      <c r="XH15" s="2"/>
      <c r="XI15" s="2"/>
      <c r="XJ15" s="2"/>
      <c r="XK15" s="2"/>
      <c r="XL15" s="2"/>
      <c r="XM15" s="2"/>
      <c r="XN15" s="2"/>
      <c r="XO15" s="2"/>
      <c r="XP15" s="2"/>
      <c r="XQ15" s="2"/>
      <c r="XR15" s="2"/>
      <c r="XS15" s="2"/>
      <c r="XT15" s="2"/>
      <c r="XU15" s="2"/>
      <c r="XV15" s="2"/>
      <c r="XW15" s="2"/>
      <c r="XX15" s="2"/>
      <c r="XY15" s="2"/>
      <c r="XZ15" s="2"/>
      <c r="YA15" s="2"/>
      <c r="YB15" s="2"/>
      <c r="YC15" s="2"/>
      <c r="YD15" s="2"/>
      <c r="YE15" s="2"/>
      <c r="YF15" s="2"/>
      <c r="YG15" s="2"/>
      <c r="YH15" s="2"/>
      <c r="YI15" s="2"/>
      <c r="YJ15" s="2"/>
      <c r="YK15" s="2"/>
      <c r="YL15" s="2"/>
      <c r="YM15" s="2"/>
      <c r="YN15" s="2"/>
      <c r="YO15" s="2"/>
      <c r="YP15" s="2"/>
      <c r="YQ15" s="2"/>
      <c r="YR15" s="2"/>
      <c r="YS15" s="2"/>
      <c r="YT15" s="2"/>
      <c r="YU15" s="2"/>
      <c r="YV15" s="2"/>
      <c r="YW15" s="2"/>
      <c r="YX15" s="2"/>
      <c r="YY15" s="2"/>
      <c r="YZ15" s="2"/>
      <c r="ZA15" s="2"/>
      <c r="ZB15" s="2"/>
      <c r="ZC15" s="2"/>
      <c r="ZD15" s="2"/>
      <c r="ZE15" s="2"/>
      <c r="ZF15" s="2"/>
      <c r="ZG15" s="2"/>
      <c r="ZH15" s="2"/>
      <c r="ZI15" s="2"/>
      <c r="ZJ15" s="2"/>
      <c r="ZK15" s="2"/>
      <c r="ZL15" s="2"/>
      <c r="ZM15" s="2"/>
      <c r="ZN15" s="2"/>
      <c r="ZO15" s="2"/>
      <c r="ZP15" s="2"/>
      <c r="ZQ15" s="2"/>
      <c r="ZR15" s="2"/>
      <c r="ZS15" s="2"/>
      <c r="ZT15" s="2"/>
      <c r="ZU15" s="2"/>
      <c r="ZV15" s="2"/>
      <c r="ZW15" s="2"/>
      <c r="ZX15" s="2"/>
      <c r="ZY15" s="2"/>
      <c r="ZZ15" s="2"/>
      <c r="AAA15" s="2"/>
      <c r="AAB15" s="2"/>
      <c r="AAC15" s="2"/>
      <c r="AAD15" s="2"/>
      <c r="AAE15" s="2"/>
      <c r="AAF15" s="2"/>
      <c r="AAG15" s="2"/>
      <c r="AAH15" s="2"/>
      <c r="AAI15" s="2"/>
      <c r="AAJ15" s="2"/>
      <c r="AAK15" s="2"/>
      <c r="AAL15" s="2"/>
      <c r="AAM15" s="2"/>
      <c r="AAN15" s="2"/>
      <c r="AAO15" s="2"/>
      <c r="AAP15" s="2"/>
      <c r="AAQ15" s="2"/>
      <c r="AAR15" s="2"/>
      <c r="AAS15" s="2"/>
      <c r="AAT15" s="2"/>
      <c r="AAU15" s="2"/>
      <c r="AAV15" s="2"/>
      <c r="AAW15" s="2"/>
      <c r="AAX15" s="2"/>
      <c r="AAY15" s="2"/>
      <c r="AAZ15" s="2"/>
      <c r="ABA15" s="2"/>
      <c r="ABB15" s="2"/>
      <c r="ABC15" s="2"/>
      <c r="ABD15" s="2"/>
      <c r="ABE15" s="2"/>
      <c r="ABF15" s="2"/>
      <c r="ABG15" s="2"/>
      <c r="ABH15" s="2"/>
      <c r="ABI15" s="2"/>
      <c r="ABJ15" s="2"/>
      <c r="ABK15" s="2"/>
      <c r="ABL15" s="2"/>
      <c r="ABM15" s="2"/>
      <c r="ABN15" s="2"/>
      <c r="ABO15" s="2"/>
      <c r="ABP15" s="2"/>
      <c r="ABQ15" s="2"/>
      <c r="ABR15" s="2"/>
      <c r="ABS15" s="2"/>
      <c r="ABT15" s="2"/>
      <c r="ABU15" s="2"/>
      <c r="ABV15" s="2"/>
      <c r="ABW15" s="2"/>
      <c r="ABX15" s="2"/>
      <c r="ABY15" s="2"/>
      <c r="ABZ15" s="2"/>
      <c r="ACA15" s="2"/>
      <c r="ACB15" s="2"/>
      <c r="ACC15" s="2"/>
      <c r="ACD15" s="2"/>
      <c r="ACE15" s="2"/>
      <c r="ACF15" s="2"/>
      <c r="ACG15" s="2"/>
      <c r="ACH15" s="2"/>
      <c r="ACI15" s="2"/>
      <c r="ACJ15" s="2"/>
      <c r="ACK15" s="2"/>
      <c r="ACL15" s="2"/>
      <c r="ACM15" s="2"/>
      <c r="ACN15" s="2"/>
      <c r="ACO15" s="2"/>
      <c r="ACP15" s="2"/>
      <c r="ACQ15" s="2"/>
      <c r="ACR15" s="2"/>
      <c r="ACS15" s="2"/>
      <c r="ACT15" s="2"/>
      <c r="ACU15" s="2"/>
      <c r="ACV15" s="2"/>
      <c r="ACW15" s="2"/>
      <c r="ACX15" s="2"/>
      <c r="ACY15" s="2"/>
      <c r="ACZ15" s="2"/>
      <c r="ADA15" s="2"/>
      <c r="ADB15" s="2"/>
      <c r="ADC15" s="2"/>
      <c r="ADD15" s="2"/>
      <c r="ADE15" s="2"/>
      <c r="ADF15" s="2"/>
      <c r="ADG15" s="2"/>
      <c r="ADH15" s="2"/>
      <c r="ADI15" s="2"/>
      <c r="ADJ15" s="2"/>
      <c r="ADK15" s="2"/>
      <c r="ADL15" s="2"/>
      <c r="ADM15" s="2"/>
      <c r="ADN15" s="2"/>
      <c r="ADO15" s="2"/>
      <c r="ADP15" s="2"/>
      <c r="ADQ15" s="2"/>
      <c r="ADR15" s="2"/>
      <c r="ADS15" s="2"/>
      <c r="ADT15" s="2"/>
      <c r="ADU15" s="2"/>
      <c r="ADV15" s="2"/>
      <c r="ADW15" s="2"/>
      <c r="ADX15" s="2"/>
      <c r="ADY15" s="2"/>
      <c r="ADZ15" s="2"/>
      <c r="AEA15" s="2"/>
      <c r="AEB15" s="2"/>
      <c r="AEC15" s="2"/>
      <c r="AED15" s="2"/>
      <c r="AEE15" s="2"/>
      <c r="AEF15" s="2"/>
      <c r="AEG15" s="2"/>
      <c r="AEH15" s="2"/>
      <c r="AEI15" s="2"/>
      <c r="AEJ15" s="2"/>
      <c r="AEK15" s="2"/>
      <c r="AEL15" s="2"/>
      <c r="AEM15" s="2"/>
      <c r="AEN15" s="2"/>
      <c r="AEO15" s="2"/>
      <c r="AEP15" s="2"/>
      <c r="AEQ15" s="2"/>
      <c r="AER15" s="2"/>
      <c r="AES15" s="2"/>
      <c r="AET15" s="2"/>
      <c r="AEU15" s="2"/>
      <c r="AEV15" s="2"/>
      <c r="AEW15" s="2"/>
      <c r="AEX15" s="2"/>
      <c r="AEY15" s="2"/>
      <c r="AEZ15" s="2"/>
      <c r="AFA15" s="2"/>
      <c r="AFB15" s="2"/>
      <c r="AFC15" s="2"/>
      <c r="AFD15" s="2"/>
      <c r="AFE15" s="2"/>
      <c r="AFF15" s="2"/>
      <c r="AFG15" s="2"/>
      <c r="AFH15" s="2"/>
      <c r="AFI15" s="2"/>
      <c r="AFJ15" s="2"/>
      <c r="AFK15" s="2"/>
      <c r="AFL15" s="2"/>
      <c r="AFM15" s="2"/>
      <c r="AFN15" s="2"/>
      <c r="AFO15" s="2"/>
      <c r="AFP15" s="2"/>
      <c r="AFQ15" s="2"/>
      <c r="AFR15" s="2"/>
      <c r="AFS15" s="2"/>
      <c r="AFT15" s="2"/>
      <c r="AFU15" s="2"/>
      <c r="AFV15" s="2"/>
      <c r="AFW15" s="2"/>
      <c r="AFX15" s="2"/>
      <c r="AFY15" s="2"/>
      <c r="AFZ15" s="2"/>
      <c r="AGA15" s="2"/>
      <c r="AGB15" s="2"/>
      <c r="AGC15" s="2"/>
      <c r="AGD15" s="2"/>
      <c r="AGE15" s="2"/>
      <c r="AGF15" s="2"/>
      <c r="AGG15" s="2"/>
      <c r="AGH15" s="2"/>
      <c r="AGI15" s="2"/>
      <c r="AGJ15" s="2"/>
      <c r="AGK15" s="2"/>
      <c r="AGL15" s="2"/>
      <c r="AGM15" s="2"/>
      <c r="AGN15" s="2"/>
      <c r="AGO15" s="2"/>
      <c r="AGP15" s="2"/>
      <c r="AGQ15" s="2"/>
      <c r="AGR15" s="2"/>
      <c r="AGS15" s="2"/>
      <c r="AGT15" s="2"/>
      <c r="AGU15" s="2"/>
      <c r="AGV15" s="2"/>
      <c r="AGW15" s="2"/>
      <c r="AGX15" s="2"/>
      <c r="AGY15" s="2"/>
      <c r="AGZ15" s="2"/>
      <c r="AHA15" s="2"/>
      <c r="AHB15" s="2"/>
      <c r="AHC15" s="2"/>
      <c r="AHD15" s="2"/>
      <c r="AHE15" s="2"/>
      <c r="AHF15" s="2"/>
      <c r="AHG15" s="2"/>
      <c r="AHH15" s="2"/>
      <c r="AHI15" s="2"/>
      <c r="AHJ15" s="2"/>
      <c r="AHK15" s="2"/>
      <c r="AHL15" s="2"/>
      <c r="AHM15" s="2"/>
      <c r="AHN15" s="2"/>
      <c r="AHO15" s="2"/>
      <c r="AHP15" s="2"/>
      <c r="AHQ15" s="2"/>
      <c r="AHR15" s="2"/>
      <c r="AHS15" s="2"/>
      <c r="AHT15" s="2"/>
      <c r="AHU15" s="2"/>
      <c r="AHV15" s="2"/>
      <c r="AHW15" s="2"/>
      <c r="AHX15" s="2"/>
      <c r="AHY15" s="2"/>
      <c r="AHZ15" s="2"/>
      <c r="AIA15" s="2"/>
      <c r="AIB15" s="2"/>
      <c r="AIC15" s="2"/>
      <c r="AID15" s="2"/>
      <c r="AIE15" s="2"/>
      <c r="AIF15" s="2"/>
      <c r="AIG15" s="2"/>
      <c r="AIH15" s="2"/>
      <c r="AII15" s="2"/>
      <c r="AIJ15" s="2"/>
      <c r="AIK15" s="2"/>
      <c r="AIL15" s="2"/>
      <c r="AIM15" s="2"/>
      <c r="AIN15" s="2"/>
      <c r="AIO15" s="2"/>
      <c r="AIP15" s="2"/>
      <c r="AIQ15" s="2"/>
      <c r="AIR15" s="2"/>
      <c r="AIS15" s="2"/>
      <c r="AIT15" s="2"/>
      <c r="AIU15" s="2"/>
      <c r="AIV15" s="2"/>
      <c r="AIW15" s="2"/>
      <c r="AIX15" s="2"/>
      <c r="AIY15" s="2"/>
      <c r="AIZ15" s="2"/>
      <c r="AJA15" s="2"/>
      <c r="AJB15" s="2"/>
      <c r="AJC15" s="2"/>
      <c r="AJD15" s="2"/>
      <c r="AJE15" s="2"/>
      <c r="AJF15" s="2"/>
      <c r="AJG15" s="2"/>
      <c r="AJH15" s="2"/>
      <c r="AJI15" s="2"/>
      <c r="AJJ15" s="2"/>
      <c r="AJK15" s="2"/>
      <c r="AJL15" s="2"/>
      <c r="AJM15" s="2"/>
      <c r="AJN15" s="2"/>
      <c r="AJO15" s="2"/>
      <c r="AJP15" s="2"/>
      <c r="AJQ15" s="2"/>
      <c r="AJR15" s="2"/>
      <c r="AJS15" s="2"/>
      <c r="AJT15" s="2"/>
      <c r="AJU15" s="2"/>
      <c r="AJV15" s="2"/>
      <c r="AJW15" s="2"/>
      <c r="AJX15" s="2"/>
      <c r="AJY15" s="2"/>
      <c r="AJZ15" s="2"/>
      <c r="AKA15" s="2"/>
      <c r="AKB15" s="2"/>
      <c r="AKC15" s="2"/>
      <c r="AKD15" s="2"/>
      <c r="AKE15" s="2"/>
      <c r="AKF15" s="2"/>
      <c r="AKG15" s="2"/>
      <c r="AKH15" s="2"/>
      <c r="AKI15" s="2"/>
      <c r="AKJ15" s="2"/>
      <c r="AKK15" s="2"/>
      <c r="AKL15" s="2"/>
      <c r="AKM15" s="2"/>
      <c r="AKN15" s="2"/>
      <c r="AKO15" s="2"/>
      <c r="AKP15" s="2"/>
      <c r="AKQ15" s="2"/>
      <c r="AKR15" s="2"/>
      <c r="AKS15" s="2"/>
      <c r="AKT15" s="2"/>
      <c r="AKU15" s="2"/>
      <c r="AKV15" s="2"/>
      <c r="AKW15" s="2"/>
      <c r="AKX15" s="2"/>
      <c r="AKY15" s="2"/>
      <c r="AKZ15" s="2"/>
      <c r="ALA15" s="2"/>
      <c r="ALB15" s="2"/>
      <c r="ALC15" s="2"/>
      <c r="ALD15" s="2"/>
      <c r="ALE15" s="2"/>
      <c r="ALF15" s="2"/>
      <c r="ALG15" s="2"/>
      <c r="ALH15" s="2"/>
      <c r="ALI15" s="2"/>
      <c r="ALJ15" s="2"/>
      <c r="ALK15" s="2"/>
      <c r="ALL15" s="2"/>
      <c r="ALM15" s="2"/>
      <c r="ALN15" s="2"/>
      <c r="ALO15" s="2"/>
      <c r="ALP15" s="2"/>
      <c r="ALQ15" s="2"/>
      <c r="ALR15" s="2"/>
      <c r="ALS15" s="2"/>
      <c r="ALT15" s="2"/>
      <c r="ALU15" s="2"/>
      <c r="ALV15" s="2"/>
      <c r="ALW15" s="2"/>
      <c r="ALX15" s="2"/>
    </row>
    <row r="16" customFormat="false" ht="15" hidden="false" customHeight="true" outlineLevel="0" collapsed="false">
      <c r="A16" s="2"/>
      <c r="B16" s="65" t="s">
        <v>95</v>
      </c>
      <c r="C16" s="66" t="n">
        <f aca="false">VLOOKUP($B16,Unidades!$D$5:$N$31,6,FALSE())</f>
        <v>436.8</v>
      </c>
      <c r="D16" s="66" t="n">
        <f aca="false">VLOOKUP($B16,Unidades!$D$5:$N$31,7,FALSE())</f>
        <v>342.01</v>
      </c>
      <c r="E16" s="66" t="n">
        <f aca="false">VLOOKUP($B16,Unidades!$D$5:$N$31,8,FALSE())</f>
        <v>94.79</v>
      </c>
      <c r="F16" s="66" t="n">
        <f aca="false">VLOOKUP($B16,Unidades!$D$5:$N$31,9,FALSE())</f>
        <v>0</v>
      </c>
      <c r="G16" s="66" t="n">
        <f aca="false">D16+E16*$E$6+F16*$F$6</f>
        <v>375.1865</v>
      </c>
      <c r="H16" s="67" t="n">
        <f aca="false">IF(G16&lt;750,1.5,IF(G16&lt;2000,2,IF(G16&lt;4000,3,12)))</f>
        <v>1.5</v>
      </c>
      <c r="I16" s="67" t="n">
        <f aca="false">$I$6*H16</f>
        <v>1.8</v>
      </c>
      <c r="J16" s="67" t="str">
        <f aca="false">VLOOKUP($B16,Unidades!$D$5:$N$31,10,FALSE())</f>
        <v>NÃO</v>
      </c>
      <c r="K16" s="67" t="str">
        <f aca="false">VLOOKUP($B16,Unidades!$D$5:$N$31,11,FALSE())</f>
        <v>NÃO</v>
      </c>
      <c r="L16" s="67" t="n">
        <f aca="false">$L$6*H16+(IF(J16="SIM",$J$6,0))</f>
        <v>1.65</v>
      </c>
      <c r="M16" s="67" t="n">
        <f aca="false">$M$6*H16+(IF(J16="SIM",$J$6,0))+(IF(K16="SIM",$K$6,0))</f>
        <v>1.65</v>
      </c>
      <c r="N16" s="67" t="n">
        <f aca="false">H16*12+I16*4+L16*2+M16</f>
        <v>30.15</v>
      </c>
      <c r="O16" s="68" t="n">
        <f aca="false">IF(K16="não", N16*(C$20+D$20),N16*(C$20+D$20)+(M16*+E$20))</f>
        <v>1476.1224729</v>
      </c>
      <c r="P16" s="69"/>
      <c r="Q16" s="24" t="str">
        <f aca="false">B16</f>
        <v>APS TORRES</v>
      </c>
      <c r="R16" s="26" t="n">
        <f aca="false">H16*($C$20+$D$20)</f>
        <v>73.438929</v>
      </c>
      <c r="S16" s="26" t="n">
        <f aca="false">I16*($C$20+$D$20)</f>
        <v>88.1267148</v>
      </c>
      <c r="T16" s="26" t="n">
        <f aca="false">L16*($C$20+$D$20)</f>
        <v>80.7828219</v>
      </c>
      <c r="U16" s="26" t="n">
        <f aca="false">IF(K16="não",M16*($C$20+$D$20),M16*(C$20+D$20+E$20))</f>
        <v>80.7828219</v>
      </c>
      <c r="V16" s="26" t="n">
        <f aca="false">VLOOKUP(Q16,'Desl. Base Caxias do Sul'!$C$5:$S$14,13,FALSE())*($C$20+$D$20+$E$20*(VLOOKUP(Q16,'Desl. Base Caxias do Sul'!$C$5:$S$14,17,FALSE())/12))</f>
        <v>235.8205609</v>
      </c>
      <c r="W16" s="26" t="n">
        <f aca="false">VLOOKUP(Q16,'Desl. Base Caxias do Sul'!$C$5:$S$14,15,FALSE())*(2+(VLOOKUP(Q16,'Desl. Base Caxias do Sul'!$C$5:$S$14,17,FALSE())/12))</f>
        <v>0</v>
      </c>
      <c r="X16" s="26" t="n">
        <f aca="false">VLOOKUP(Q16,'Desl. Base Caxias do Sul'!$C$5:$Q$14,14,FALSE())</f>
        <v>11</v>
      </c>
      <c r="Y16" s="26" t="n">
        <f aca="false">VLOOKUP(Q16,'Desl. Base Caxias do Sul'!$C$5:$Q$14,13,FALSE())*'Desl. Base Caxias do Sul'!$E$19+'Desl. Base Caxias do Sul'!$E$20*N16/12</f>
        <v>269.308833333333</v>
      </c>
      <c r="Z16" s="26" t="n">
        <f aca="false">(H16/$AC$5)*'Equipe Técnica'!$C$13</f>
        <v>227.76337360756</v>
      </c>
      <c r="AA16" s="26" t="n">
        <f aca="false">(I16/$AC$5)*'Equipe Técnica'!$C$13</f>
        <v>273.316048329072</v>
      </c>
      <c r="AB16" s="26" t="n">
        <f aca="false">(L16/$AC$5)*'Equipe Técnica'!$C$13</f>
        <v>250.539710968316</v>
      </c>
      <c r="AC16" s="26" t="n">
        <f aca="false">(M16/$AC$5)*'Equipe Técnica'!$C$13</f>
        <v>250.539710968316</v>
      </c>
      <c r="AD16" s="26" t="n">
        <f aca="false">R16+(($V16+$W16+$X16+$Y16)*12/19)+$Z16</f>
        <v>627.178762123349</v>
      </c>
      <c r="AE16" s="26" t="n">
        <f aca="false">S16+(($V16+$W16+$X16+$Y16)*12/19)+$AA16</f>
        <v>687.419222644861</v>
      </c>
      <c r="AF16" s="26" t="n">
        <f aca="false">T16+(($V16+$W16+$X16+$Y16)*12/19)+$AB16</f>
        <v>657.298992384105</v>
      </c>
      <c r="AG16" s="26" t="n">
        <f aca="false">U16+(($V16+$W16+$X16+$Y16)*12/19)+$AC16</f>
        <v>657.298992384105</v>
      </c>
      <c r="AH16" s="2"/>
      <c r="AI16" s="24" t="str">
        <f aca="false">B16</f>
        <v>APS TORRES</v>
      </c>
      <c r="AJ16" s="70" t="n">
        <f aca="false">VLOOKUP(AI16,Unidades!D$5:H$31,5,)</f>
        <v>0.2707</v>
      </c>
      <c r="AK16" s="48" t="n">
        <f aca="false">AD16*(1+$AJ16)</f>
        <v>796.95605303014</v>
      </c>
      <c r="AL16" s="48" t="n">
        <f aca="false">AE16*(1+$AJ16)</f>
        <v>873.503606214825</v>
      </c>
      <c r="AM16" s="48" t="n">
        <f aca="false">AF16*(1+$AJ16)</f>
        <v>835.229829622482</v>
      </c>
      <c r="AN16" s="48" t="n">
        <f aca="false">AG16*(1+$AJ16)</f>
        <v>835.229829622482</v>
      </c>
      <c r="AO16" s="48" t="n">
        <f aca="false">((AK16*12)+(AL16*4)+(AM16*2)+AN16)/12</f>
        <v>1296.93137917404</v>
      </c>
      <c r="AP16" s="48" t="n">
        <f aca="false">AO16*$AP$6</f>
        <v>3419.18272691337</v>
      </c>
      <c r="AQ16" s="48" t="n">
        <f aca="false">AO16+AP16</f>
        <v>4716.1141060874</v>
      </c>
      <c r="AR16" s="71"/>
      <c r="AS16" s="71"/>
      <c r="AT16" s="71"/>
      <c r="AU16" s="71"/>
      <c r="AV16" s="71"/>
      <c r="AW16" s="71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2"/>
      <c r="NH16" s="2"/>
      <c r="NI16" s="2"/>
      <c r="NJ16" s="2"/>
      <c r="NK16" s="2"/>
      <c r="NL16" s="2"/>
      <c r="NM16" s="2"/>
      <c r="NN16" s="2"/>
      <c r="NO16" s="2"/>
      <c r="NP16" s="2"/>
      <c r="NQ16" s="2"/>
      <c r="NR16" s="2"/>
      <c r="NS16" s="2"/>
      <c r="NT16" s="2"/>
      <c r="NU16" s="2"/>
      <c r="NV16" s="2"/>
      <c r="NW16" s="2"/>
      <c r="NX16" s="2"/>
      <c r="NY16" s="2"/>
      <c r="NZ16" s="2"/>
      <c r="OA16" s="2"/>
      <c r="OB16" s="2"/>
      <c r="OC16" s="2"/>
      <c r="OD16" s="2"/>
      <c r="OE16" s="2"/>
      <c r="OF16" s="2"/>
      <c r="OG16" s="2"/>
      <c r="OH16" s="2"/>
      <c r="OI16" s="2"/>
      <c r="OJ16" s="2"/>
      <c r="OK16" s="2"/>
      <c r="OL16" s="2"/>
      <c r="OM16" s="2"/>
      <c r="ON16" s="2"/>
      <c r="OO16" s="2"/>
      <c r="OP16" s="2"/>
      <c r="OQ16" s="2"/>
      <c r="OR16" s="2"/>
      <c r="OS16" s="2"/>
      <c r="OT16" s="2"/>
      <c r="OU16" s="2"/>
      <c r="OV16" s="2"/>
      <c r="OW16" s="2"/>
      <c r="OX16" s="2"/>
      <c r="OY16" s="2"/>
      <c r="OZ16" s="2"/>
      <c r="PA16" s="2"/>
      <c r="PB16" s="2"/>
      <c r="PC16" s="2"/>
      <c r="PD16" s="2"/>
      <c r="PE16" s="2"/>
      <c r="PF16" s="2"/>
      <c r="PG16" s="2"/>
      <c r="PH16" s="2"/>
      <c r="PI16" s="2"/>
      <c r="PJ16" s="2"/>
      <c r="PK16" s="2"/>
      <c r="PL16" s="2"/>
      <c r="PM16" s="2"/>
      <c r="PN16" s="2"/>
      <c r="PO16" s="2"/>
      <c r="PP16" s="2"/>
      <c r="PQ16" s="2"/>
      <c r="PR16" s="2"/>
      <c r="PS16" s="2"/>
      <c r="PT16" s="2"/>
      <c r="PU16" s="2"/>
      <c r="PV16" s="2"/>
      <c r="PW16" s="2"/>
      <c r="PX16" s="2"/>
      <c r="PY16" s="2"/>
      <c r="PZ16" s="2"/>
      <c r="QA16" s="2"/>
      <c r="QB16" s="2"/>
      <c r="QC16" s="2"/>
      <c r="QD16" s="2"/>
      <c r="QE16" s="2"/>
      <c r="QF16" s="2"/>
      <c r="QG16" s="2"/>
      <c r="QH16" s="2"/>
      <c r="QI16" s="2"/>
      <c r="QJ16" s="2"/>
      <c r="QK16" s="2"/>
      <c r="QL16" s="2"/>
      <c r="QM16" s="2"/>
      <c r="QN16" s="2"/>
      <c r="QO16" s="2"/>
      <c r="QP16" s="2"/>
      <c r="QQ16" s="2"/>
      <c r="QR16" s="2"/>
      <c r="QS16" s="2"/>
      <c r="QT16" s="2"/>
      <c r="QU16" s="2"/>
      <c r="QV16" s="2"/>
      <c r="QW16" s="2"/>
      <c r="QX16" s="2"/>
      <c r="QY16" s="2"/>
      <c r="QZ16" s="2"/>
      <c r="RA16" s="2"/>
      <c r="RB16" s="2"/>
      <c r="RC16" s="2"/>
      <c r="RD16" s="2"/>
      <c r="RE16" s="2"/>
      <c r="RF16" s="2"/>
      <c r="RG16" s="2"/>
      <c r="RH16" s="2"/>
      <c r="RI16" s="2"/>
      <c r="RJ16" s="2"/>
      <c r="RK16" s="2"/>
      <c r="RL16" s="2"/>
      <c r="RM16" s="2"/>
      <c r="RN16" s="2"/>
      <c r="RO16" s="2"/>
      <c r="RP16" s="2"/>
      <c r="RQ16" s="2"/>
      <c r="RR16" s="2"/>
      <c r="RS16" s="2"/>
      <c r="RT16" s="2"/>
      <c r="RU16" s="2"/>
      <c r="RV16" s="2"/>
      <c r="RW16" s="2"/>
      <c r="RX16" s="2"/>
      <c r="RY16" s="2"/>
      <c r="RZ16" s="2"/>
      <c r="SA16" s="2"/>
      <c r="SB16" s="2"/>
      <c r="SC16" s="2"/>
      <c r="SD16" s="2"/>
      <c r="SE16" s="2"/>
      <c r="SF16" s="2"/>
      <c r="SG16" s="2"/>
      <c r="SH16" s="2"/>
      <c r="SI16" s="2"/>
      <c r="SJ16" s="2"/>
      <c r="SK16" s="2"/>
      <c r="SL16" s="2"/>
      <c r="SM16" s="2"/>
      <c r="SN16" s="2"/>
      <c r="SO16" s="2"/>
      <c r="SP16" s="2"/>
      <c r="SQ16" s="2"/>
      <c r="SR16" s="2"/>
      <c r="SS16" s="2"/>
      <c r="ST16" s="2"/>
      <c r="SU16" s="2"/>
      <c r="SV16" s="2"/>
      <c r="SW16" s="2"/>
      <c r="SX16" s="2"/>
      <c r="SY16" s="2"/>
      <c r="SZ16" s="2"/>
      <c r="TA16" s="2"/>
      <c r="TB16" s="2"/>
      <c r="TC16" s="2"/>
      <c r="TD16" s="2"/>
      <c r="TE16" s="2"/>
      <c r="TF16" s="2"/>
      <c r="TG16" s="2"/>
      <c r="TH16" s="2"/>
      <c r="TI16" s="2"/>
      <c r="TJ16" s="2"/>
      <c r="TK16" s="2"/>
      <c r="TL16" s="2"/>
      <c r="TM16" s="2"/>
      <c r="TN16" s="2"/>
      <c r="TO16" s="2"/>
      <c r="TP16" s="2"/>
      <c r="TQ16" s="2"/>
      <c r="TR16" s="2"/>
      <c r="TS16" s="2"/>
      <c r="TT16" s="2"/>
      <c r="TU16" s="2"/>
      <c r="TV16" s="2"/>
      <c r="TW16" s="2"/>
      <c r="TX16" s="2"/>
      <c r="TY16" s="2"/>
      <c r="TZ16" s="2"/>
      <c r="UA16" s="2"/>
      <c r="UB16" s="2"/>
      <c r="UC16" s="2"/>
      <c r="UD16" s="2"/>
      <c r="UE16" s="2"/>
      <c r="UF16" s="2"/>
      <c r="UG16" s="2"/>
      <c r="UH16" s="2"/>
      <c r="UI16" s="2"/>
      <c r="UJ16" s="2"/>
      <c r="UK16" s="2"/>
      <c r="UL16" s="2"/>
      <c r="UM16" s="2"/>
      <c r="UN16" s="2"/>
      <c r="UO16" s="2"/>
      <c r="UP16" s="2"/>
      <c r="UQ16" s="2"/>
      <c r="UR16" s="2"/>
      <c r="US16" s="2"/>
      <c r="UT16" s="2"/>
      <c r="UU16" s="2"/>
      <c r="UV16" s="2"/>
      <c r="UW16" s="2"/>
      <c r="UX16" s="2"/>
      <c r="UY16" s="2"/>
      <c r="UZ16" s="2"/>
      <c r="VA16" s="2"/>
      <c r="VB16" s="2"/>
      <c r="VC16" s="2"/>
      <c r="VD16" s="2"/>
      <c r="VE16" s="2"/>
      <c r="VF16" s="2"/>
      <c r="VG16" s="2"/>
      <c r="VH16" s="2"/>
      <c r="VI16" s="2"/>
      <c r="VJ16" s="2"/>
      <c r="VK16" s="2"/>
      <c r="VL16" s="2"/>
      <c r="VM16" s="2"/>
      <c r="VN16" s="2"/>
      <c r="VO16" s="2"/>
      <c r="VP16" s="2"/>
      <c r="VQ16" s="2"/>
      <c r="VR16" s="2"/>
      <c r="VS16" s="2"/>
      <c r="VT16" s="2"/>
      <c r="VU16" s="2"/>
      <c r="VV16" s="2"/>
      <c r="VW16" s="2"/>
      <c r="VX16" s="2"/>
      <c r="VY16" s="2"/>
      <c r="VZ16" s="2"/>
      <c r="WA16" s="2"/>
      <c r="WB16" s="2"/>
      <c r="WC16" s="2"/>
      <c r="WD16" s="2"/>
      <c r="WE16" s="2"/>
      <c r="WF16" s="2"/>
      <c r="WG16" s="2"/>
      <c r="WH16" s="2"/>
      <c r="WI16" s="2"/>
      <c r="WJ16" s="2"/>
      <c r="WK16" s="2"/>
      <c r="WL16" s="2"/>
      <c r="WM16" s="2"/>
      <c r="WN16" s="2"/>
      <c r="WO16" s="2"/>
      <c r="WP16" s="2"/>
      <c r="WQ16" s="2"/>
      <c r="WR16" s="2"/>
      <c r="WS16" s="2"/>
      <c r="WT16" s="2"/>
      <c r="WU16" s="2"/>
      <c r="WV16" s="2"/>
      <c r="WW16" s="2"/>
      <c r="WX16" s="2"/>
      <c r="WY16" s="2"/>
      <c r="WZ16" s="2"/>
      <c r="XA16" s="2"/>
      <c r="XB16" s="2"/>
      <c r="XC16" s="2"/>
      <c r="XD16" s="2"/>
      <c r="XE16" s="2"/>
      <c r="XF16" s="2"/>
      <c r="XG16" s="2"/>
      <c r="XH16" s="2"/>
      <c r="XI16" s="2"/>
      <c r="XJ16" s="2"/>
      <c r="XK16" s="2"/>
      <c r="XL16" s="2"/>
      <c r="XM16" s="2"/>
      <c r="XN16" s="2"/>
      <c r="XO16" s="2"/>
      <c r="XP16" s="2"/>
      <c r="XQ16" s="2"/>
      <c r="XR16" s="2"/>
      <c r="XS16" s="2"/>
      <c r="XT16" s="2"/>
      <c r="XU16" s="2"/>
      <c r="XV16" s="2"/>
      <c r="XW16" s="2"/>
      <c r="XX16" s="2"/>
      <c r="XY16" s="2"/>
      <c r="XZ16" s="2"/>
      <c r="YA16" s="2"/>
      <c r="YB16" s="2"/>
      <c r="YC16" s="2"/>
      <c r="YD16" s="2"/>
      <c r="YE16" s="2"/>
      <c r="YF16" s="2"/>
      <c r="YG16" s="2"/>
      <c r="YH16" s="2"/>
      <c r="YI16" s="2"/>
      <c r="YJ16" s="2"/>
      <c r="YK16" s="2"/>
      <c r="YL16" s="2"/>
      <c r="YM16" s="2"/>
      <c r="YN16" s="2"/>
      <c r="YO16" s="2"/>
      <c r="YP16" s="2"/>
      <c r="YQ16" s="2"/>
      <c r="YR16" s="2"/>
      <c r="YS16" s="2"/>
      <c r="YT16" s="2"/>
      <c r="YU16" s="2"/>
      <c r="YV16" s="2"/>
      <c r="YW16" s="2"/>
      <c r="YX16" s="2"/>
      <c r="YY16" s="2"/>
      <c r="YZ16" s="2"/>
      <c r="ZA16" s="2"/>
      <c r="ZB16" s="2"/>
      <c r="ZC16" s="2"/>
      <c r="ZD16" s="2"/>
      <c r="ZE16" s="2"/>
      <c r="ZF16" s="2"/>
      <c r="ZG16" s="2"/>
      <c r="ZH16" s="2"/>
      <c r="ZI16" s="2"/>
      <c r="ZJ16" s="2"/>
      <c r="ZK16" s="2"/>
      <c r="ZL16" s="2"/>
      <c r="ZM16" s="2"/>
      <c r="ZN16" s="2"/>
      <c r="ZO16" s="2"/>
      <c r="ZP16" s="2"/>
      <c r="ZQ16" s="2"/>
      <c r="ZR16" s="2"/>
      <c r="ZS16" s="2"/>
      <c r="ZT16" s="2"/>
      <c r="ZU16" s="2"/>
      <c r="ZV16" s="2"/>
      <c r="ZW16" s="2"/>
      <c r="ZX16" s="2"/>
      <c r="ZY16" s="2"/>
      <c r="ZZ16" s="2"/>
      <c r="AAA16" s="2"/>
      <c r="AAB16" s="2"/>
      <c r="AAC16" s="2"/>
      <c r="AAD16" s="2"/>
      <c r="AAE16" s="2"/>
      <c r="AAF16" s="2"/>
      <c r="AAG16" s="2"/>
      <c r="AAH16" s="2"/>
      <c r="AAI16" s="2"/>
      <c r="AAJ16" s="2"/>
      <c r="AAK16" s="2"/>
      <c r="AAL16" s="2"/>
      <c r="AAM16" s="2"/>
      <c r="AAN16" s="2"/>
      <c r="AAO16" s="2"/>
      <c r="AAP16" s="2"/>
      <c r="AAQ16" s="2"/>
      <c r="AAR16" s="2"/>
      <c r="AAS16" s="2"/>
      <c r="AAT16" s="2"/>
      <c r="AAU16" s="2"/>
      <c r="AAV16" s="2"/>
      <c r="AAW16" s="2"/>
      <c r="AAX16" s="2"/>
      <c r="AAY16" s="2"/>
      <c r="AAZ16" s="2"/>
      <c r="ABA16" s="2"/>
      <c r="ABB16" s="2"/>
      <c r="ABC16" s="2"/>
      <c r="ABD16" s="2"/>
      <c r="ABE16" s="2"/>
      <c r="ABF16" s="2"/>
      <c r="ABG16" s="2"/>
      <c r="ABH16" s="2"/>
      <c r="ABI16" s="2"/>
      <c r="ABJ16" s="2"/>
      <c r="ABK16" s="2"/>
      <c r="ABL16" s="2"/>
      <c r="ABM16" s="2"/>
      <c r="ABN16" s="2"/>
      <c r="ABO16" s="2"/>
      <c r="ABP16" s="2"/>
      <c r="ABQ16" s="2"/>
      <c r="ABR16" s="2"/>
      <c r="ABS16" s="2"/>
      <c r="ABT16" s="2"/>
      <c r="ABU16" s="2"/>
      <c r="ABV16" s="2"/>
      <c r="ABW16" s="2"/>
      <c r="ABX16" s="2"/>
      <c r="ABY16" s="2"/>
      <c r="ABZ16" s="2"/>
      <c r="ACA16" s="2"/>
      <c r="ACB16" s="2"/>
      <c r="ACC16" s="2"/>
      <c r="ACD16" s="2"/>
      <c r="ACE16" s="2"/>
      <c r="ACF16" s="2"/>
      <c r="ACG16" s="2"/>
      <c r="ACH16" s="2"/>
      <c r="ACI16" s="2"/>
      <c r="ACJ16" s="2"/>
      <c r="ACK16" s="2"/>
      <c r="ACL16" s="2"/>
      <c r="ACM16" s="2"/>
      <c r="ACN16" s="2"/>
      <c r="ACO16" s="2"/>
      <c r="ACP16" s="2"/>
      <c r="ACQ16" s="2"/>
      <c r="ACR16" s="2"/>
      <c r="ACS16" s="2"/>
      <c r="ACT16" s="2"/>
      <c r="ACU16" s="2"/>
      <c r="ACV16" s="2"/>
      <c r="ACW16" s="2"/>
      <c r="ACX16" s="2"/>
      <c r="ACY16" s="2"/>
      <c r="ACZ16" s="2"/>
      <c r="ADA16" s="2"/>
      <c r="ADB16" s="2"/>
      <c r="ADC16" s="2"/>
      <c r="ADD16" s="2"/>
      <c r="ADE16" s="2"/>
      <c r="ADF16" s="2"/>
      <c r="ADG16" s="2"/>
      <c r="ADH16" s="2"/>
      <c r="ADI16" s="2"/>
      <c r="ADJ16" s="2"/>
      <c r="ADK16" s="2"/>
      <c r="ADL16" s="2"/>
      <c r="ADM16" s="2"/>
      <c r="ADN16" s="2"/>
      <c r="ADO16" s="2"/>
      <c r="ADP16" s="2"/>
      <c r="ADQ16" s="2"/>
      <c r="ADR16" s="2"/>
      <c r="ADS16" s="2"/>
      <c r="ADT16" s="2"/>
      <c r="ADU16" s="2"/>
      <c r="ADV16" s="2"/>
      <c r="ADW16" s="2"/>
      <c r="ADX16" s="2"/>
      <c r="ADY16" s="2"/>
      <c r="ADZ16" s="2"/>
      <c r="AEA16" s="2"/>
      <c r="AEB16" s="2"/>
      <c r="AEC16" s="2"/>
      <c r="AED16" s="2"/>
      <c r="AEE16" s="2"/>
      <c r="AEF16" s="2"/>
      <c r="AEG16" s="2"/>
      <c r="AEH16" s="2"/>
      <c r="AEI16" s="2"/>
      <c r="AEJ16" s="2"/>
      <c r="AEK16" s="2"/>
      <c r="AEL16" s="2"/>
      <c r="AEM16" s="2"/>
      <c r="AEN16" s="2"/>
      <c r="AEO16" s="2"/>
      <c r="AEP16" s="2"/>
      <c r="AEQ16" s="2"/>
      <c r="AER16" s="2"/>
      <c r="AES16" s="2"/>
      <c r="AET16" s="2"/>
      <c r="AEU16" s="2"/>
      <c r="AEV16" s="2"/>
      <c r="AEW16" s="2"/>
      <c r="AEX16" s="2"/>
      <c r="AEY16" s="2"/>
      <c r="AEZ16" s="2"/>
      <c r="AFA16" s="2"/>
      <c r="AFB16" s="2"/>
      <c r="AFC16" s="2"/>
      <c r="AFD16" s="2"/>
      <c r="AFE16" s="2"/>
      <c r="AFF16" s="2"/>
      <c r="AFG16" s="2"/>
      <c r="AFH16" s="2"/>
      <c r="AFI16" s="2"/>
      <c r="AFJ16" s="2"/>
      <c r="AFK16" s="2"/>
      <c r="AFL16" s="2"/>
      <c r="AFM16" s="2"/>
      <c r="AFN16" s="2"/>
      <c r="AFO16" s="2"/>
      <c r="AFP16" s="2"/>
      <c r="AFQ16" s="2"/>
      <c r="AFR16" s="2"/>
      <c r="AFS16" s="2"/>
      <c r="AFT16" s="2"/>
      <c r="AFU16" s="2"/>
      <c r="AFV16" s="2"/>
      <c r="AFW16" s="2"/>
      <c r="AFX16" s="2"/>
      <c r="AFY16" s="2"/>
      <c r="AFZ16" s="2"/>
      <c r="AGA16" s="2"/>
      <c r="AGB16" s="2"/>
      <c r="AGC16" s="2"/>
      <c r="AGD16" s="2"/>
      <c r="AGE16" s="2"/>
      <c r="AGF16" s="2"/>
      <c r="AGG16" s="2"/>
      <c r="AGH16" s="2"/>
      <c r="AGI16" s="2"/>
      <c r="AGJ16" s="2"/>
      <c r="AGK16" s="2"/>
      <c r="AGL16" s="2"/>
      <c r="AGM16" s="2"/>
      <c r="AGN16" s="2"/>
      <c r="AGO16" s="2"/>
      <c r="AGP16" s="2"/>
      <c r="AGQ16" s="2"/>
      <c r="AGR16" s="2"/>
      <c r="AGS16" s="2"/>
      <c r="AGT16" s="2"/>
      <c r="AGU16" s="2"/>
      <c r="AGV16" s="2"/>
      <c r="AGW16" s="2"/>
      <c r="AGX16" s="2"/>
      <c r="AGY16" s="2"/>
      <c r="AGZ16" s="2"/>
      <c r="AHA16" s="2"/>
      <c r="AHB16" s="2"/>
      <c r="AHC16" s="2"/>
      <c r="AHD16" s="2"/>
      <c r="AHE16" s="2"/>
      <c r="AHF16" s="2"/>
      <c r="AHG16" s="2"/>
      <c r="AHH16" s="2"/>
      <c r="AHI16" s="2"/>
      <c r="AHJ16" s="2"/>
      <c r="AHK16" s="2"/>
      <c r="AHL16" s="2"/>
      <c r="AHM16" s="2"/>
      <c r="AHN16" s="2"/>
      <c r="AHO16" s="2"/>
      <c r="AHP16" s="2"/>
      <c r="AHQ16" s="2"/>
      <c r="AHR16" s="2"/>
      <c r="AHS16" s="2"/>
      <c r="AHT16" s="2"/>
      <c r="AHU16" s="2"/>
      <c r="AHV16" s="2"/>
      <c r="AHW16" s="2"/>
      <c r="AHX16" s="2"/>
      <c r="AHY16" s="2"/>
      <c r="AHZ16" s="2"/>
      <c r="AIA16" s="2"/>
      <c r="AIB16" s="2"/>
      <c r="AIC16" s="2"/>
      <c r="AID16" s="2"/>
      <c r="AIE16" s="2"/>
      <c r="AIF16" s="2"/>
      <c r="AIG16" s="2"/>
      <c r="AIH16" s="2"/>
      <c r="AII16" s="2"/>
      <c r="AIJ16" s="2"/>
      <c r="AIK16" s="2"/>
      <c r="AIL16" s="2"/>
      <c r="AIM16" s="2"/>
      <c r="AIN16" s="2"/>
      <c r="AIO16" s="2"/>
      <c r="AIP16" s="2"/>
      <c r="AIQ16" s="2"/>
      <c r="AIR16" s="2"/>
      <c r="AIS16" s="2"/>
      <c r="AIT16" s="2"/>
      <c r="AIU16" s="2"/>
      <c r="AIV16" s="2"/>
      <c r="AIW16" s="2"/>
      <c r="AIX16" s="2"/>
      <c r="AIY16" s="2"/>
      <c r="AIZ16" s="2"/>
      <c r="AJA16" s="2"/>
      <c r="AJB16" s="2"/>
      <c r="AJC16" s="2"/>
      <c r="AJD16" s="2"/>
      <c r="AJE16" s="2"/>
      <c r="AJF16" s="2"/>
      <c r="AJG16" s="2"/>
      <c r="AJH16" s="2"/>
      <c r="AJI16" s="2"/>
      <c r="AJJ16" s="2"/>
      <c r="AJK16" s="2"/>
      <c r="AJL16" s="2"/>
      <c r="AJM16" s="2"/>
      <c r="AJN16" s="2"/>
      <c r="AJO16" s="2"/>
      <c r="AJP16" s="2"/>
      <c r="AJQ16" s="2"/>
      <c r="AJR16" s="2"/>
      <c r="AJS16" s="2"/>
      <c r="AJT16" s="2"/>
      <c r="AJU16" s="2"/>
      <c r="AJV16" s="2"/>
      <c r="AJW16" s="2"/>
      <c r="AJX16" s="2"/>
      <c r="AJY16" s="2"/>
      <c r="AJZ16" s="2"/>
      <c r="AKA16" s="2"/>
      <c r="AKB16" s="2"/>
      <c r="AKC16" s="2"/>
      <c r="AKD16" s="2"/>
      <c r="AKE16" s="2"/>
      <c r="AKF16" s="2"/>
      <c r="AKG16" s="2"/>
      <c r="AKH16" s="2"/>
      <c r="AKI16" s="2"/>
      <c r="AKJ16" s="2"/>
      <c r="AKK16" s="2"/>
      <c r="AKL16" s="2"/>
      <c r="AKM16" s="2"/>
      <c r="AKN16" s="2"/>
      <c r="AKO16" s="2"/>
      <c r="AKP16" s="2"/>
      <c r="AKQ16" s="2"/>
      <c r="AKR16" s="2"/>
      <c r="AKS16" s="2"/>
      <c r="AKT16" s="2"/>
      <c r="AKU16" s="2"/>
      <c r="AKV16" s="2"/>
      <c r="AKW16" s="2"/>
      <c r="AKX16" s="2"/>
      <c r="AKY16" s="2"/>
      <c r="AKZ16" s="2"/>
      <c r="ALA16" s="2"/>
      <c r="ALB16" s="2"/>
      <c r="ALC16" s="2"/>
      <c r="ALD16" s="2"/>
      <c r="ALE16" s="2"/>
      <c r="ALF16" s="2"/>
      <c r="ALG16" s="2"/>
      <c r="ALH16" s="2"/>
      <c r="ALI16" s="2"/>
      <c r="ALJ16" s="2"/>
      <c r="ALK16" s="2"/>
      <c r="ALL16" s="2"/>
      <c r="ALM16" s="2"/>
      <c r="ALN16" s="2"/>
      <c r="ALO16" s="2"/>
      <c r="ALP16" s="2"/>
      <c r="ALQ16" s="2"/>
      <c r="ALR16" s="2"/>
      <c r="ALS16" s="2"/>
      <c r="ALT16" s="2"/>
      <c r="ALU16" s="2"/>
      <c r="ALV16" s="2"/>
      <c r="ALW16" s="2"/>
      <c r="ALX16" s="2"/>
    </row>
    <row r="17" customFormat="false" ht="19.5" hidden="false" customHeight="true" outlineLevel="0" collapsed="false">
      <c r="A17" s="56"/>
      <c r="B17" s="75" t="s">
        <v>96</v>
      </c>
      <c r="C17" s="76" t="n">
        <f aca="false">SUM(C7:C16)</f>
        <v>9708.88</v>
      </c>
      <c r="D17" s="76" t="n">
        <f aca="false">SUM(D7:D16)</f>
        <v>5997.41</v>
      </c>
      <c r="E17" s="76" t="n">
        <f aca="false">SUM(E7:E16)</f>
        <v>2868.39</v>
      </c>
      <c r="F17" s="76" t="n">
        <f aca="false">SUM(F7:F16)</f>
        <v>843.08</v>
      </c>
      <c r="G17" s="76" t="n">
        <f aca="false">SUM(G7:G16)</f>
        <v>7085.6545</v>
      </c>
      <c r="H17" s="77" t="n">
        <f aca="false">SUM(H7:H16)</f>
        <v>17.5</v>
      </c>
      <c r="I17" s="77" t="n">
        <f aca="false">SUM(I7:I16)</f>
        <v>21</v>
      </c>
      <c r="J17" s="77" t="n">
        <f aca="false">COUNTIF(J7:J16,"SIM")</f>
        <v>1</v>
      </c>
      <c r="K17" s="77" t="n">
        <f aca="false">COUNTIF(K7:K16,"SIM")</f>
        <v>2</v>
      </c>
      <c r="L17" s="77" t="n">
        <f aca="false">SUM(L7:L16)</f>
        <v>21.25</v>
      </c>
      <c r="M17" s="77" t="n">
        <f aca="false">SUM(M7:M16)</f>
        <v>29.25</v>
      </c>
      <c r="N17" s="77" t="n">
        <f aca="false">SUM(N7:N16)</f>
        <v>365.75</v>
      </c>
      <c r="O17" s="78" t="n">
        <f aca="false">SUM(O7:O16)</f>
        <v>18417.7388545</v>
      </c>
      <c r="P17" s="79"/>
      <c r="Q17" s="77" t="s">
        <v>96</v>
      </c>
      <c r="R17" s="80" t="n">
        <f aca="false">SUM(R7:R16)</f>
        <v>856.787505</v>
      </c>
      <c r="S17" s="80" t="n">
        <f aca="false">SUM(S7:S16)</f>
        <v>1028.145006</v>
      </c>
      <c r="T17" s="80" t="n">
        <f aca="false">SUM(T7:T16)</f>
        <v>1040.3848275</v>
      </c>
      <c r="U17" s="80" t="n">
        <f aca="false">SUM(U7:U16)</f>
        <v>1942.9391155</v>
      </c>
      <c r="V17" s="80" t="n">
        <f aca="false">SUM(V7:V16)</f>
        <v>610.126785255556</v>
      </c>
      <c r="W17" s="80" t="n">
        <f aca="false">SUM(W7:W16)</f>
        <v>0</v>
      </c>
      <c r="X17" s="80" t="n">
        <f aca="false">SUM(X7:X16)</f>
        <v>25.2</v>
      </c>
      <c r="Y17" s="80" t="n">
        <f aca="false">SUM(Y7:Y16)</f>
        <v>844.6955</v>
      </c>
      <c r="Z17" s="80" t="n">
        <f aca="false">SUM(Z7:Z16)</f>
        <v>2657.23935875486</v>
      </c>
      <c r="AA17" s="80" t="n">
        <f aca="false">SUM(AA7:AA16)</f>
        <v>3188.68723050584</v>
      </c>
      <c r="AB17" s="80" t="n">
        <f aca="false">SUM(AB7:AB16)</f>
        <v>3226.64779277376</v>
      </c>
      <c r="AC17" s="80" t="n">
        <f aca="false">SUM(AC7:AC16)</f>
        <v>4441.38578534742</v>
      </c>
      <c r="AD17" s="80" t="n">
        <f aca="false">SUM(AD7:AD16)</f>
        <v>4448.77778075837</v>
      </c>
      <c r="AE17" s="80" t="n">
        <f aca="false">SUM(AE7:AE16)</f>
        <v>5151.58315350935</v>
      </c>
      <c r="AF17" s="80" t="n">
        <f aca="false">SUM(AF7:AF16)</f>
        <v>5201.78353727727</v>
      </c>
      <c r="AG17" s="80" t="n">
        <f aca="false">SUM(AG7:AG16)</f>
        <v>7319.07581785092</v>
      </c>
      <c r="AH17" s="56"/>
      <c r="AI17" s="77" t="s">
        <v>96</v>
      </c>
      <c r="AJ17" s="77"/>
      <c r="AK17" s="81" t="n">
        <f aca="false">SUM(AK7:AK16)</f>
        <v>5726.87006752862</v>
      </c>
      <c r="AL17" s="81" t="n">
        <f aca="false">SUM(AL7:AL16)</f>
        <v>6632.59743956166</v>
      </c>
      <c r="AM17" s="81" t="n">
        <f aca="false">SUM(AM7:AM16)</f>
        <v>6701.5767828895</v>
      </c>
      <c r="AN17" s="81" t="n">
        <f aca="false">SUM(AN7:AN16)</f>
        <v>9438.17677923274</v>
      </c>
      <c r="AO17" s="81" t="n">
        <f aca="false">SUM(AO7:AO16)</f>
        <v>9841.18007613349</v>
      </c>
      <c r="AP17" s="81" t="n">
        <f aca="false">SUM(AP7:AP16)</f>
        <v>25944.9292916247</v>
      </c>
      <c r="AQ17" s="81" t="n">
        <f aca="false">SUM(AQ7:AQ16)</f>
        <v>35786.1093677581</v>
      </c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  <c r="CD17" s="56"/>
      <c r="CE17" s="56"/>
      <c r="CF17" s="56"/>
      <c r="CG17" s="56"/>
      <c r="CH17" s="56"/>
      <c r="CI17" s="56"/>
      <c r="CJ17" s="56"/>
      <c r="CK17" s="56"/>
      <c r="CL17" s="56"/>
      <c r="CM17" s="56"/>
      <c r="CN17" s="56"/>
      <c r="CO17" s="56"/>
      <c r="CP17" s="56"/>
      <c r="CQ17" s="56"/>
      <c r="CR17" s="56"/>
      <c r="CS17" s="56"/>
      <c r="CT17" s="56"/>
      <c r="CU17" s="56"/>
      <c r="CV17" s="56"/>
      <c r="CW17" s="56"/>
      <c r="CX17" s="56"/>
      <c r="CY17" s="56"/>
      <c r="CZ17" s="56"/>
      <c r="DA17" s="56"/>
      <c r="DB17" s="56"/>
      <c r="DC17" s="56"/>
      <c r="DD17" s="56"/>
      <c r="DE17" s="56"/>
      <c r="DF17" s="56"/>
      <c r="DG17" s="56"/>
      <c r="DH17" s="56"/>
      <c r="DI17" s="56"/>
      <c r="DJ17" s="56"/>
      <c r="DK17" s="56"/>
      <c r="DL17" s="56"/>
      <c r="DM17" s="56"/>
      <c r="DN17" s="56"/>
      <c r="DO17" s="56"/>
      <c r="DP17" s="56"/>
      <c r="DQ17" s="56"/>
      <c r="DR17" s="56"/>
      <c r="DS17" s="56"/>
      <c r="DT17" s="56"/>
      <c r="DU17" s="56"/>
      <c r="DV17" s="56"/>
      <c r="DW17" s="56"/>
      <c r="DX17" s="56"/>
      <c r="DY17" s="56"/>
      <c r="DZ17" s="56"/>
      <c r="EA17" s="56"/>
      <c r="EB17" s="56"/>
      <c r="EC17" s="56"/>
      <c r="ED17" s="56"/>
      <c r="EE17" s="56"/>
      <c r="EF17" s="56"/>
      <c r="EG17" s="56"/>
      <c r="EH17" s="56"/>
      <c r="EI17" s="56"/>
      <c r="EJ17" s="56"/>
      <c r="EK17" s="56"/>
      <c r="EL17" s="56"/>
      <c r="EM17" s="56"/>
      <c r="EN17" s="56"/>
      <c r="EO17" s="56"/>
      <c r="EP17" s="56"/>
      <c r="EQ17" s="56"/>
      <c r="ER17" s="56"/>
      <c r="ES17" s="56"/>
      <c r="ET17" s="56"/>
      <c r="EU17" s="56"/>
      <c r="EV17" s="56"/>
      <c r="EW17" s="56"/>
      <c r="EX17" s="56"/>
      <c r="EY17" s="56"/>
      <c r="EZ17" s="56"/>
      <c r="FA17" s="56"/>
      <c r="FB17" s="56"/>
      <c r="FC17" s="56"/>
      <c r="FD17" s="56"/>
      <c r="FE17" s="56"/>
      <c r="FF17" s="56"/>
      <c r="FG17" s="56"/>
      <c r="FH17" s="56"/>
      <c r="FI17" s="56"/>
      <c r="FJ17" s="56"/>
      <c r="FK17" s="56"/>
      <c r="FL17" s="56"/>
      <c r="FM17" s="56"/>
      <c r="FN17" s="56"/>
      <c r="FO17" s="56"/>
      <c r="FP17" s="56"/>
      <c r="FQ17" s="56"/>
      <c r="FR17" s="56"/>
      <c r="FS17" s="56"/>
      <c r="FT17" s="56"/>
      <c r="FU17" s="56"/>
      <c r="FV17" s="56"/>
      <c r="FW17" s="56"/>
      <c r="FX17" s="56"/>
      <c r="FY17" s="56"/>
      <c r="FZ17" s="56"/>
      <c r="GA17" s="56"/>
      <c r="GB17" s="56"/>
      <c r="GC17" s="56"/>
      <c r="GD17" s="56"/>
      <c r="GE17" s="56"/>
      <c r="GF17" s="56"/>
      <c r="GG17" s="56"/>
      <c r="GH17" s="56"/>
      <c r="GI17" s="56"/>
      <c r="GJ17" s="56"/>
      <c r="GK17" s="56"/>
      <c r="GL17" s="56"/>
      <c r="GM17" s="56"/>
      <c r="GN17" s="56"/>
      <c r="GO17" s="56"/>
      <c r="GP17" s="56"/>
      <c r="GQ17" s="56"/>
      <c r="GR17" s="56"/>
      <c r="GS17" s="56"/>
      <c r="GT17" s="56"/>
      <c r="GU17" s="56"/>
      <c r="GV17" s="56"/>
      <c r="GW17" s="56"/>
      <c r="GX17" s="56"/>
      <c r="GY17" s="56"/>
      <c r="GZ17" s="56"/>
      <c r="HA17" s="56"/>
      <c r="HB17" s="56"/>
      <c r="HC17" s="56"/>
      <c r="HD17" s="56"/>
      <c r="HE17" s="56"/>
      <c r="HF17" s="56"/>
      <c r="HG17" s="56"/>
      <c r="HH17" s="56"/>
      <c r="HI17" s="56"/>
      <c r="HJ17" s="56"/>
      <c r="HK17" s="56"/>
      <c r="HL17" s="56"/>
      <c r="HM17" s="56"/>
      <c r="HN17" s="56"/>
      <c r="HO17" s="56"/>
      <c r="HP17" s="56"/>
      <c r="HQ17" s="56"/>
      <c r="HR17" s="56"/>
      <c r="HS17" s="56"/>
      <c r="HT17" s="56"/>
      <c r="HU17" s="56"/>
      <c r="HV17" s="56"/>
      <c r="HW17" s="56"/>
      <c r="HX17" s="56"/>
      <c r="HY17" s="56"/>
      <c r="HZ17" s="56"/>
      <c r="IA17" s="56"/>
      <c r="IB17" s="56"/>
      <c r="IC17" s="56"/>
      <c r="ID17" s="56"/>
      <c r="IE17" s="56"/>
      <c r="IF17" s="56"/>
      <c r="IG17" s="56"/>
      <c r="IH17" s="56"/>
      <c r="II17" s="56"/>
      <c r="IJ17" s="56"/>
      <c r="IK17" s="56"/>
      <c r="IL17" s="56"/>
      <c r="IM17" s="56"/>
      <c r="IN17" s="56"/>
      <c r="IO17" s="56"/>
      <c r="IP17" s="56"/>
      <c r="IQ17" s="56"/>
      <c r="IR17" s="56"/>
      <c r="IS17" s="56"/>
      <c r="IT17" s="56"/>
      <c r="IU17" s="56"/>
      <c r="IV17" s="56"/>
      <c r="IW17" s="56"/>
      <c r="IX17" s="56"/>
      <c r="IY17" s="56"/>
      <c r="IZ17" s="56"/>
      <c r="JA17" s="56"/>
      <c r="JB17" s="56"/>
      <c r="JC17" s="56"/>
      <c r="JD17" s="56"/>
      <c r="JE17" s="56"/>
      <c r="JF17" s="56"/>
      <c r="JG17" s="56"/>
      <c r="JH17" s="56"/>
      <c r="JI17" s="56"/>
      <c r="JJ17" s="56"/>
      <c r="JK17" s="56"/>
      <c r="JL17" s="56"/>
      <c r="JM17" s="56"/>
      <c r="JN17" s="56"/>
      <c r="JO17" s="56"/>
      <c r="JP17" s="56"/>
      <c r="JQ17" s="56"/>
      <c r="JR17" s="56"/>
      <c r="JS17" s="56"/>
      <c r="JT17" s="56"/>
      <c r="JU17" s="56"/>
      <c r="JV17" s="56"/>
      <c r="JW17" s="56"/>
      <c r="JX17" s="56"/>
      <c r="JY17" s="56"/>
      <c r="JZ17" s="56"/>
      <c r="KA17" s="56"/>
      <c r="KB17" s="56"/>
      <c r="KC17" s="56"/>
      <c r="KD17" s="56"/>
      <c r="KE17" s="56"/>
      <c r="KF17" s="56"/>
      <c r="KG17" s="56"/>
      <c r="KH17" s="56"/>
      <c r="KI17" s="56"/>
      <c r="KJ17" s="56"/>
      <c r="KK17" s="56"/>
      <c r="KL17" s="56"/>
      <c r="KM17" s="56"/>
      <c r="KN17" s="56"/>
      <c r="KO17" s="56"/>
      <c r="KP17" s="56"/>
      <c r="KQ17" s="56"/>
      <c r="KR17" s="56"/>
      <c r="KS17" s="56"/>
      <c r="KT17" s="56"/>
      <c r="KU17" s="56"/>
      <c r="KV17" s="56"/>
      <c r="KW17" s="56"/>
      <c r="KX17" s="56"/>
      <c r="KY17" s="56"/>
      <c r="KZ17" s="56"/>
      <c r="LA17" s="56"/>
      <c r="LB17" s="56"/>
      <c r="LC17" s="56"/>
      <c r="LD17" s="56"/>
      <c r="LE17" s="56"/>
      <c r="LF17" s="56"/>
      <c r="LG17" s="56"/>
      <c r="LH17" s="56"/>
      <c r="LI17" s="56"/>
      <c r="LJ17" s="56"/>
      <c r="LK17" s="56"/>
      <c r="LL17" s="56"/>
      <c r="LM17" s="56"/>
      <c r="LN17" s="56"/>
      <c r="LO17" s="56"/>
      <c r="LP17" s="56"/>
      <c r="LQ17" s="56"/>
      <c r="LR17" s="56"/>
      <c r="LS17" s="56"/>
      <c r="LT17" s="56"/>
      <c r="LU17" s="56"/>
      <c r="LV17" s="56"/>
      <c r="LW17" s="56"/>
      <c r="LX17" s="56"/>
      <c r="LY17" s="56"/>
      <c r="LZ17" s="56"/>
      <c r="MA17" s="56"/>
      <c r="MB17" s="56"/>
      <c r="MC17" s="56"/>
      <c r="MD17" s="56"/>
      <c r="ME17" s="56"/>
      <c r="MF17" s="56"/>
      <c r="MG17" s="56"/>
      <c r="MH17" s="56"/>
      <c r="MI17" s="56"/>
      <c r="MJ17" s="56"/>
      <c r="MK17" s="56"/>
      <c r="ML17" s="56"/>
      <c r="MM17" s="56"/>
      <c r="MN17" s="56"/>
      <c r="MO17" s="56"/>
      <c r="MP17" s="56"/>
      <c r="MQ17" s="56"/>
      <c r="MR17" s="56"/>
      <c r="MS17" s="56"/>
      <c r="MT17" s="56"/>
      <c r="MU17" s="56"/>
      <c r="MV17" s="56"/>
      <c r="MW17" s="56"/>
      <c r="MX17" s="56"/>
      <c r="MY17" s="56"/>
      <c r="MZ17" s="56"/>
      <c r="NA17" s="56"/>
      <c r="NB17" s="56"/>
      <c r="NC17" s="56"/>
      <c r="ND17" s="56"/>
      <c r="NE17" s="56"/>
      <c r="NF17" s="56"/>
      <c r="NG17" s="56"/>
      <c r="NH17" s="56"/>
      <c r="NI17" s="56"/>
      <c r="NJ17" s="56"/>
      <c r="NK17" s="56"/>
      <c r="NL17" s="56"/>
      <c r="NM17" s="56"/>
      <c r="NN17" s="56"/>
      <c r="NO17" s="56"/>
      <c r="NP17" s="56"/>
      <c r="NQ17" s="56"/>
      <c r="NR17" s="56"/>
      <c r="NS17" s="56"/>
      <c r="NT17" s="56"/>
      <c r="NU17" s="56"/>
      <c r="NV17" s="56"/>
      <c r="NW17" s="56"/>
      <c r="NX17" s="56"/>
      <c r="NY17" s="56"/>
      <c r="NZ17" s="56"/>
      <c r="OA17" s="56"/>
      <c r="OB17" s="56"/>
      <c r="OC17" s="56"/>
      <c r="OD17" s="56"/>
      <c r="OE17" s="56"/>
      <c r="OF17" s="56"/>
      <c r="OG17" s="56"/>
      <c r="OH17" s="56"/>
      <c r="OI17" s="56"/>
      <c r="OJ17" s="56"/>
      <c r="OK17" s="56"/>
      <c r="OL17" s="56"/>
      <c r="OM17" s="56"/>
      <c r="ON17" s="56"/>
      <c r="OO17" s="56"/>
      <c r="OP17" s="56"/>
      <c r="OQ17" s="56"/>
      <c r="OR17" s="56"/>
      <c r="OS17" s="56"/>
      <c r="OT17" s="56"/>
      <c r="OU17" s="56"/>
      <c r="OV17" s="56"/>
      <c r="OW17" s="56"/>
      <c r="OX17" s="56"/>
      <c r="OY17" s="56"/>
      <c r="OZ17" s="56"/>
      <c r="PA17" s="56"/>
      <c r="PB17" s="56"/>
      <c r="PC17" s="56"/>
      <c r="PD17" s="56"/>
      <c r="PE17" s="56"/>
      <c r="PF17" s="56"/>
      <c r="PG17" s="56"/>
      <c r="PH17" s="56"/>
      <c r="PI17" s="56"/>
      <c r="PJ17" s="56"/>
      <c r="PK17" s="56"/>
      <c r="PL17" s="56"/>
      <c r="PM17" s="56"/>
      <c r="PN17" s="56"/>
      <c r="PO17" s="56"/>
      <c r="PP17" s="56"/>
      <c r="PQ17" s="56"/>
      <c r="PR17" s="56"/>
      <c r="PS17" s="56"/>
      <c r="PT17" s="56"/>
      <c r="PU17" s="56"/>
      <c r="PV17" s="56"/>
      <c r="PW17" s="56"/>
      <c r="PX17" s="56"/>
      <c r="PY17" s="56"/>
      <c r="PZ17" s="56"/>
      <c r="QA17" s="56"/>
      <c r="QB17" s="56"/>
      <c r="QC17" s="56"/>
      <c r="QD17" s="56"/>
      <c r="QE17" s="56"/>
      <c r="QF17" s="56"/>
      <c r="QG17" s="56"/>
      <c r="QH17" s="56"/>
      <c r="QI17" s="56"/>
      <c r="QJ17" s="56"/>
      <c r="QK17" s="56"/>
      <c r="QL17" s="56"/>
      <c r="QM17" s="56"/>
      <c r="QN17" s="56"/>
      <c r="QO17" s="56"/>
      <c r="QP17" s="56"/>
      <c r="QQ17" s="56"/>
      <c r="QR17" s="56"/>
      <c r="QS17" s="56"/>
      <c r="QT17" s="56"/>
      <c r="QU17" s="56"/>
      <c r="QV17" s="56"/>
      <c r="QW17" s="56"/>
      <c r="QX17" s="56"/>
      <c r="QY17" s="56"/>
      <c r="QZ17" s="56"/>
      <c r="RA17" s="56"/>
      <c r="RB17" s="56"/>
      <c r="RC17" s="56"/>
      <c r="RD17" s="56"/>
      <c r="RE17" s="56"/>
      <c r="RF17" s="56"/>
      <c r="RG17" s="56"/>
      <c r="RH17" s="56"/>
      <c r="RI17" s="56"/>
      <c r="RJ17" s="56"/>
      <c r="RK17" s="56"/>
      <c r="RL17" s="56"/>
      <c r="RM17" s="56"/>
      <c r="RN17" s="56"/>
      <c r="RO17" s="56"/>
      <c r="RP17" s="56"/>
      <c r="RQ17" s="56"/>
      <c r="RR17" s="56"/>
      <c r="RS17" s="56"/>
      <c r="RT17" s="56"/>
      <c r="RU17" s="56"/>
      <c r="RV17" s="56"/>
      <c r="RW17" s="56"/>
      <c r="RX17" s="56"/>
      <c r="RY17" s="56"/>
      <c r="RZ17" s="56"/>
      <c r="SA17" s="56"/>
      <c r="SB17" s="56"/>
      <c r="SC17" s="56"/>
      <c r="SD17" s="56"/>
      <c r="SE17" s="56"/>
      <c r="SF17" s="56"/>
      <c r="SG17" s="56"/>
      <c r="SH17" s="56"/>
      <c r="SI17" s="56"/>
      <c r="SJ17" s="56"/>
      <c r="SK17" s="56"/>
      <c r="SL17" s="56"/>
      <c r="SM17" s="56"/>
      <c r="SN17" s="56"/>
      <c r="SO17" s="56"/>
      <c r="SP17" s="56"/>
      <c r="SQ17" s="56"/>
      <c r="SR17" s="56"/>
      <c r="SS17" s="56"/>
      <c r="ST17" s="56"/>
      <c r="SU17" s="56"/>
      <c r="SV17" s="56"/>
      <c r="SW17" s="56"/>
      <c r="SX17" s="56"/>
      <c r="SY17" s="56"/>
      <c r="SZ17" s="56"/>
      <c r="TA17" s="56"/>
      <c r="TB17" s="56"/>
      <c r="TC17" s="56"/>
      <c r="TD17" s="56"/>
      <c r="TE17" s="56"/>
      <c r="TF17" s="56"/>
      <c r="TG17" s="56"/>
      <c r="TH17" s="56"/>
      <c r="TI17" s="56"/>
      <c r="TJ17" s="56"/>
      <c r="TK17" s="56"/>
      <c r="TL17" s="56"/>
      <c r="TM17" s="56"/>
      <c r="TN17" s="56"/>
      <c r="TO17" s="56"/>
      <c r="TP17" s="56"/>
      <c r="TQ17" s="56"/>
      <c r="TR17" s="56"/>
      <c r="TS17" s="56"/>
      <c r="TT17" s="56"/>
      <c r="TU17" s="56"/>
      <c r="TV17" s="56"/>
      <c r="TW17" s="56"/>
      <c r="TX17" s="56"/>
      <c r="TY17" s="56"/>
      <c r="TZ17" s="56"/>
      <c r="UA17" s="56"/>
      <c r="UB17" s="56"/>
      <c r="UC17" s="56"/>
      <c r="UD17" s="56"/>
      <c r="UE17" s="56"/>
      <c r="UF17" s="56"/>
      <c r="UG17" s="56"/>
      <c r="UH17" s="56"/>
      <c r="UI17" s="56"/>
      <c r="UJ17" s="56"/>
      <c r="UK17" s="56"/>
      <c r="UL17" s="56"/>
      <c r="UM17" s="56"/>
      <c r="UN17" s="56"/>
      <c r="UO17" s="56"/>
      <c r="UP17" s="56"/>
      <c r="UQ17" s="56"/>
      <c r="UR17" s="56"/>
      <c r="US17" s="56"/>
      <c r="UT17" s="56"/>
      <c r="UU17" s="56"/>
      <c r="UV17" s="56"/>
      <c r="UW17" s="56"/>
      <c r="UX17" s="56"/>
      <c r="UY17" s="56"/>
      <c r="UZ17" s="56"/>
      <c r="VA17" s="56"/>
      <c r="VB17" s="56"/>
      <c r="VC17" s="56"/>
      <c r="VD17" s="56"/>
      <c r="VE17" s="56"/>
      <c r="VF17" s="56"/>
      <c r="VG17" s="56"/>
      <c r="VH17" s="56"/>
      <c r="VI17" s="56"/>
      <c r="VJ17" s="56"/>
      <c r="VK17" s="56"/>
      <c r="VL17" s="56"/>
      <c r="VM17" s="56"/>
      <c r="VN17" s="56"/>
      <c r="VO17" s="56"/>
      <c r="VP17" s="56"/>
      <c r="VQ17" s="56"/>
      <c r="VR17" s="56"/>
      <c r="VS17" s="56"/>
      <c r="VT17" s="56"/>
      <c r="VU17" s="56"/>
      <c r="VV17" s="56"/>
      <c r="VW17" s="56"/>
      <c r="VX17" s="56"/>
      <c r="VY17" s="56"/>
      <c r="VZ17" s="56"/>
      <c r="WA17" s="56"/>
      <c r="WB17" s="56"/>
      <c r="WC17" s="56"/>
      <c r="WD17" s="56"/>
      <c r="WE17" s="56"/>
      <c r="WF17" s="56"/>
      <c r="WG17" s="56"/>
      <c r="WH17" s="56"/>
      <c r="WI17" s="56"/>
      <c r="WJ17" s="56"/>
      <c r="WK17" s="56"/>
      <c r="WL17" s="56"/>
      <c r="WM17" s="56"/>
      <c r="WN17" s="56"/>
      <c r="WO17" s="56"/>
      <c r="WP17" s="56"/>
      <c r="WQ17" s="56"/>
      <c r="WR17" s="56"/>
      <c r="WS17" s="56"/>
      <c r="WT17" s="56"/>
      <c r="WU17" s="56"/>
      <c r="WV17" s="56"/>
      <c r="WW17" s="56"/>
      <c r="WX17" s="56"/>
      <c r="WY17" s="56"/>
      <c r="WZ17" s="56"/>
      <c r="XA17" s="56"/>
      <c r="XB17" s="56"/>
      <c r="XC17" s="56"/>
      <c r="XD17" s="56"/>
      <c r="XE17" s="56"/>
      <c r="XF17" s="56"/>
      <c r="XG17" s="56"/>
      <c r="XH17" s="56"/>
      <c r="XI17" s="56"/>
      <c r="XJ17" s="56"/>
      <c r="XK17" s="56"/>
      <c r="XL17" s="56"/>
      <c r="XM17" s="56"/>
      <c r="XN17" s="56"/>
      <c r="XO17" s="56"/>
      <c r="XP17" s="56"/>
      <c r="XQ17" s="56"/>
      <c r="XR17" s="56"/>
      <c r="XS17" s="56"/>
      <c r="XT17" s="56"/>
      <c r="XU17" s="56"/>
      <c r="XV17" s="56"/>
      <c r="XW17" s="56"/>
      <c r="XX17" s="56"/>
      <c r="XY17" s="56"/>
      <c r="XZ17" s="56"/>
      <c r="YA17" s="56"/>
      <c r="YB17" s="56"/>
      <c r="YC17" s="56"/>
      <c r="YD17" s="56"/>
      <c r="YE17" s="56"/>
      <c r="YF17" s="56"/>
      <c r="YG17" s="56"/>
      <c r="YH17" s="56"/>
      <c r="YI17" s="56"/>
      <c r="YJ17" s="56"/>
      <c r="YK17" s="56"/>
      <c r="YL17" s="56"/>
      <c r="YM17" s="56"/>
      <c r="YN17" s="56"/>
      <c r="YO17" s="56"/>
      <c r="YP17" s="56"/>
      <c r="YQ17" s="56"/>
      <c r="YR17" s="56"/>
      <c r="YS17" s="56"/>
      <c r="YT17" s="56"/>
      <c r="YU17" s="56"/>
      <c r="YV17" s="56"/>
      <c r="YW17" s="56"/>
      <c r="YX17" s="56"/>
      <c r="YY17" s="56"/>
      <c r="YZ17" s="56"/>
      <c r="ZA17" s="56"/>
      <c r="ZB17" s="56"/>
      <c r="ZC17" s="56"/>
      <c r="ZD17" s="56"/>
      <c r="ZE17" s="56"/>
      <c r="ZF17" s="56"/>
      <c r="ZG17" s="56"/>
      <c r="ZH17" s="56"/>
      <c r="ZI17" s="56"/>
      <c r="ZJ17" s="56"/>
      <c r="ZK17" s="56"/>
      <c r="ZL17" s="56"/>
      <c r="ZM17" s="56"/>
      <c r="ZN17" s="56"/>
      <c r="ZO17" s="56"/>
      <c r="ZP17" s="56"/>
      <c r="ZQ17" s="56"/>
      <c r="ZR17" s="56"/>
      <c r="ZS17" s="56"/>
      <c r="ZT17" s="56"/>
      <c r="ZU17" s="56"/>
      <c r="ZV17" s="56"/>
      <c r="ZW17" s="56"/>
      <c r="ZX17" s="56"/>
      <c r="ZY17" s="56"/>
      <c r="ZZ17" s="56"/>
      <c r="AAA17" s="56"/>
      <c r="AAB17" s="56"/>
      <c r="AAC17" s="56"/>
      <c r="AAD17" s="56"/>
      <c r="AAE17" s="56"/>
      <c r="AAF17" s="56"/>
      <c r="AAG17" s="56"/>
      <c r="AAH17" s="56"/>
      <c r="AAI17" s="56"/>
      <c r="AAJ17" s="56"/>
      <c r="AAK17" s="56"/>
      <c r="AAL17" s="56"/>
      <c r="AAM17" s="56"/>
      <c r="AAN17" s="56"/>
      <c r="AAO17" s="56"/>
      <c r="AAP17" s="56"/>
      <c r="AAQ17" s="56"/>
      <c r="AAR17" s="56"/>
      <c r="AAS17" s="56"/>
      <c r="AAT17" s="56"/>
      <c r="AAU17" s="56"/>
      <c r="AAV17" s="56"/>
      <c r="AAW17" s="56"/>
      <c r="AAX17" s="56"/>
      <c r="AAY17" s="56"/>
      <c r="AAZ17" s="56"/>
      <c r="ABA17" s="56"/>
      <c r="ABB17" s="56"/>
      <c r="ABC17" s="56"/>
      <c r="ABD17" s="56"/>
      <c r="ABE17" s="56"/>
      <c r="ABF17" s="56"/>
      <c r="ABG17" s="56"/>
      <c r="ABH17" s="56"/>
      <c r="ABI17" s="56"/>
      <c r="ABJ17" s="56"/>
      <c r="ABK17" s="56"/>
      <c r="ABL17" s="56"/>
      <c r="ABM17" s="56"/>
      <c r="ABN17" s="56"/>
      <c r="ABO17" s="56"/>
      <c r="ABP17" s="56"/>
      <c r="ABQ17" s="56"/>
      <c r="ABR17" s="56"/>
      <c r="ABS17" s="56"/>
      <c r="ABT17" s="56"/>
      <c r="ABU17" s="56"/>
      <c r="ABV17" s="56"/>
      <c r="ABW17" s="56"/>
      <c r="ABX17" s="56"/>
      <c r="ABY17" s="56"/>
      <c r="ABZ17" s="56"/>
      <c r="ACA17" s="56"/>
      <c r="ACB17" s="56"/>
      <c r="ACC17" s="56"/>
      <c r="ACD17" s="56"/>
      <c r="ACE17" s="56"/>
      <c r="ACF17" s="56"/>
      <c r="ACG17" s="56"/>
      <c r="ACH17" s="56"/>
      <c r="ACI17" s="56"/>
      <c r="ACJ17" s="56"/>
      <c r="ACK17" s="56"/>
      <c r="ACL17" s="56"/>
      <c r="ACM17" s="56"/>
      <c r="ACN17" s="56"/>
      <c r="ACO17" s="56"/>
      <c r="ACP17" s="56"/>
      <c r="ACQ17" s="56"/>
      <c r="ACR17" s="56"/>
      <c r="ACS17" s="56"/>
      <c r="ACT17" s="56"/>
      <c r="ACU17" s="56"/>
      <c r="ACV17" s="56"/>
      <c r="ACW17" s="56"/>
      <c r="ACX17" s="56"/>
      <c r="ACY17" s="56"/>
      <c r="ACZ17" s="56"/>
      <c r="ADA17" s="56"/>
      <c r="ADB17" s="56"/>
      <c r="ADC17" s="56"/>
      <c r="ADD17" s="56"/>
      <c r="ADE17" s="56"/>
      <c r="ADF17" s="56"/>
      <c r="ADG17" s="56"/>
      <c r="ADH17" s="56"/>
      <c r="ADI17" s="56"/>
      <c r="ADJ17" s="56"/>
      <c r="ADK17" s="56"/>
      <c r="ADL17" s="56"/>
      <c r="ADM17" s="56"/>
      <c r="ADN17" s="56"/>
      <c r="ADO17" s="56"/>
      <c r="ADP17" s="56"/>
      <c r="ADQ17" s="56"/>
      <c r="ADR17" s="56"/>
      <c r="ADS17" s="56"/>
      <c r="ADT17" s="56"/>
      <c r="ADU17" s="56"/>
      <c r="ADV17" s="56"/>
      <c r="ADW17" s="56"/>
      <c r="ADX17" s="56"/>
      <c r="ADY17" s="56"/>
      <c r="ADZ17" s="56"/>
      <c r="AEA17" s="56"/>
      <c r="AEB17" s="56"/>
      <c r="AEC17" s="56"/>
      <c r="AED17" s="56"/>
      <c r="AEE17" s="56"/>
      <c r="AEF17" s="56"/>
      <c r="AEG17" s="56"/>
      <c r="AEH17" s="56"/>
      <c r="AEI17" s="56"/>
      <c r="AEJ17" s="56"/>
      <c r="AEK17" s="56"/>
      <c r="AEL17" s="56"/>
      <c r="AEM17" s="56"/>
      <c r="AEN17" s="56"/>
      <c r="AEO17" s="56"/>
      <c r="AEP17" s="56"/>
      <c r="AEQ17" s="56"/>
      <c r="AER17" s="56"/>
      <c r="AES17" s="56"/>
      <c r="AET17" s="56"/>
      <c r="AEU17" s="56"/>
      <c r="AEV17" s="56"/>
      <c r="AEW17" s="56"/>
      <c r="AEX17" s="56"/>
      <c r="AEY17" s="56"/>
      <c r="AEZ17" s="56"/>
      <c r="AFA17" s="56"/>
      <c r="AFB17" s="56"/>
      <c r="AFC17" s="56"/>
      <c r="AFD17" s="56"/>
      <c r="AFE17" s="56"/>
      <c r="AFF17" s="56"/>
      <c r="AFG17" s="56"/>
      <c r="AFH17" s="56"/>
      <c r="AFI17" s="56"/>
      <c r="AFJ17" s="56"/>
      <c r="AFK17" s="56"/>
      <c r="AFL17" s="56"/>
      <c r="AFM17" s="56"/>
      <c r="AFN17" s="56"/>
      <c r="AFO17" s="56"/>
      <c r="AFP17" s="56"/>
      <c r="AFQ17" s="56"/>
      <c r="AFR17" s="56"/>
      <c r="AFS17" s="56"/>
      <c r="AFT17" s="56"/>
      <c r="AFU17" s="56"/>
      <c r="AFV17" s="56"/>
      <c r="AFW17" s="56"/>
      <c r="AFX17" s="56"/>
      <c r="AFY17" s="56"/>
      <c r="AFZ17" s="56"/>
      <c r="AGA17" s="56"/>
      <c r="AGB17" s="56"/>
      <c r="AGC17" s="56"/>
      <c r="AGD17" s="56"/>
      <c r="AGE17" s="56"/>
      <c r="AGF17" s="56"/>
      <c r="AGG17" s="56"/>
      <c r="AGH17" s="56"/>
      <c r="AGI17" s="56"/>
      <c r="AGJ17" s="56"/>
      <c r="AGK17" s="56"/>
      <c r="AGL17" s="56"/>
      <c r="AGM17" s="56"/>
      <c r="AGN17" s="56"/>
      <c r="AGO17" s="56"/>
      <c r="AGP17" s="56"/>
      <c r="AGQ17" s="56"/>
      <c r="AGR17" s="56"/>
      <c r="AGS17" s="56"/>
      <c r="AGT17" s="56"/>
      <c r="AGU17" s="56"/>
      <c r="AGV17" s="56"/>
      <c r="AGW17" s="56"/>
      <c r="AGX17" s="56"/>
      <c r="AGY17" s="56"/>
      <c r="AGZ17" s="56"/>
      <c r="AHA17" s="56"/>
      <c r="AHB17" s="56"/>
      <c r="AHC17" s="56"/>
      <c r="AHD17" s="56"/>
      <c r="AHE17" s="56"/>
      <c r="AHF17" s="56"/>
      <c r="AHG17" s="56"/>
      <c r="AHH17" s="56"/>
      <c r="AHI17" s="56"/>
      <c r="AHJ17" s="56"/>
      <c r="AHK17" s="56"/>
      <c r="AHL17" s="56"/>
      <c r="AHM17" s="56"/>
      <c r="AHN17" s="56"/>
      <c r="AHO17" s="56"/>
      <c r="AHP17" s="56"/>
      <c r="AHQ17" s="56"/>
      <c r="AHR17" s="56"/>
      <c r="AHS17" s="56"/>
      <c r="AHT17" s="56"/>
      <c r="AHU17" s="56"/>
      <c r="AHV17" s="56"/>
      <c r="AHW17" s="56"/>
      <c r="AHX17" s="56"/>
      <c r="AHY17" s="56"/>
      <c r="AHZ17" s="56"/>
      <c r="AIA17" s="56"/>
      <c r="AIB17" s="56"/>
      <c r="AIC17" s="56"/>
      <c r="AID17" s="56"/>
      <c r="AIE17" s="56"/>
      <c r="AIF17" s="56"/>
      <c r="AIG17" s="56"/>
      <c r="AIH17" s="56"/>
      <c r="AII17" s="56"/>
      <c r="AIJ17" s="56"/>
      <c r="AIK17" s="56"/>
      <c r="AIL17" s="56"/>
      <c r="AIM17" s="56"/>
      <c r="AIN17" s="56"/>
      <c r="AIO17" s="56"/>
      <c r="AIP17" s="56"/>
      <c r="AIQ17" s="56"/>
      <c r="AIR17" s="56"/>
      <c r="AIS17" s="56"/>
      <c r="AIT17" s="56"/>
      <c r="AIU17" s="56"/>
      <c r="AIV17" s="56"/>
      <c r="AIW17" s="56"/>
      <c r="AIX17" s="56"/>
      <c r="AIY17" s="56"/>
      <c r="AIZ17" s="56"/>
      <c r="AJA17" s="56"/>
      <c r="AJB17" s="56"/>
      <c r="AJC17" s="56"/>
      <c r="AJD17" s="56"/>
      <c r="AJE17" s="56"/>
      <c r="AJF17" s="56"/>
      <c r="AJG17" s="56"/>
      <c r="AJH17" s="56"/>
      <c r="AJI17" s="56"/>
      <c r="AJJ17" s="56"/>
      <c r="AJK17" s="56"/>
      <c r="AJL17" s="56"/>
      <c r="AJM17" s="56"/>
      <c r="AJN17" s="56"/>
      <c r="AJO17" s="56"/>
      <c r="AJP17" s="56"/>
      <c r="AJQ17" s="56"/>
      <c r="AJR17" s="56"/>
      <c r="AJS17" s="56"/>
      <c r="AJT17" s="56"/>
      <c r="AJU17" s="56"/>
      <c r="AJV17" s="56"/>
      <c r="AJW17" s="56"/>
      <c r="AJX17" s="56"/>
      <c r="AJY17" s="56"/>
      <c r="AJZ17" s="56"/>
      <c r="AKA17" s="56"/>
      <c r="AKB17" s="56"/>
      <c r="AKC17" s="56"/>
      <c r="AKD17" s="56"/>
      <c r="AKE17" s="56"/>
      <c r="AKF17" s="56"/>
      <c r="AKG17" s="56"/>
      <c r="AKH17" s="56"/>
      <c r="AKI17" s="56"/>
      <c r="AKJ17" s="56"/>
      <c r="AKK17" s="56"/>
      <c r="AKL17" s="56"/>
      <c r="AKM17" s="56"/>
      <c r="AKN17" s="56"/>
      <c r="AKO17" s="56"/>
      <c r="AKP17" s="56"/>
      <c r="AKQ17" s="56"/>
      <c r="AKR17" s="56"/>
      <c r="AKS17" s="56"/>
      <c r="AKT17" s="56"/>
      <c r="AKU17" s="56"/>
      <c r="AKV17" s="56"/>
      <c r="AKW17" s="56"/>
      <c r="AKX17" s="56"/>
      <c r="AKY17" s="56"/>
      <c r="AKZ17" s="56"/>
      <c r="ALA17" s="56"/>
      <c r="ALB17" s="56"/>
      <c r="ALC17" s="56"/>
      <c r="ALD17" s="56"/>
      <c r="ALE17" s="56"/>
      <c r="ALF17" s="56"/>
      <c r="ALG17" s="56"/>
      <c r="ALH17" s="56"/>
      <c r="ALI17" s="56"/>
      <c r="ALJ17" s="56"/>
      <c r="ALK17" s="56"/>
      <c r="ALL17" s="56"/>
      <c r="ALM17" s="56"/>
      <c r="ALN17" s="56"/>
      <c r="ALO17" s="56"/>
      <c r="ALP17" s="56"/>
      <c r="ALQ17" s="56"/>
      <c r="ALR17" s="56"/>
      <c r="ALS17" s="56"/>
      <c r="ALT17" s="56"/>
      <c r="ALU17" s="56"/>
      <c r="ALV17" s="56"/>
      <c r="ALW17" s="56"/>
      <c r="ALX17" s="56"/>
    </row>
    <row r="18" customFormat="false" ht="18" hidden="false" customHeight="true" outlineLevel="0" collapsed="false">
      <c r="H18" s="82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57"/>
      <c r="AE18" s="57"/>
      <c r="AF18" s="57"/>
      <c r="AG18" s="57"/>
    </row>
    <row r="19" customFormat="false" ht="39.75" hidden="false" customHeight="true" outlineLevel="0" collapsed="false">
      <c r="B19" s="47" t="s">
        <v>30</v>
      </c>
      <c r="C19" s="84" t="s">
        <v>97</v>
      </c>
      <c r="D19" s="84" t="s">
        <v>98</v>
      </c>
      <c r="E19" s="84" t="s">
        <v>99</v>
      </c>
      <c r="R19" s="85"/>
      <c r="Z19" s="85"/>
      <c r="AA19" s="85"/>
      <c r="AB19" s="85"/>
      <c r="AC19" s="85"/>
    </row>
    <row r="20" customFormat="false" ht="18" hidden="false" customHeight="true" outlineLevel="0" collapsed="false">
      <c r="B20" s="47"/>
      <c r="C20" s="86" t="n">
        <f aca="false">'Comp. Oficial de Manutenção'!D11</f>
        <v>26.519286</v>
      </c>
      <c r="D20" s="26" t="n">
        <v>22.44</v>
      </c>
      <c r="E20" s="26" t="n">
        <v>32.96</v>
      </c>
    </row>
    <row r="21" customFormat="false" ht="28.5" hidden="false" customHeight="true" outlineLevel="0" collapsed="false">
      <c r="B21" s="52" t="str">
        <f aca="false">'Equipe Técnica'!B9</f>
        <v>* Tabela SINAPI Janeiro/2025 (Desonerado)</v>
      </c>
    </row>
    <row r="22" customFormat="false" ht="23.25" hidden="false" customHeight="true" outlineLevel="0" collapsed="false"/>
  </sheetData>
  <mergeCells count="43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17:AJ17"/>
    <mergeCell ref="B19:B20"/>
  </mergeCells>
  <printOptions headings="false" gridLines="false" gridLinesSet="true" horizontalCentered="true" verticalCentered="true"/>
  <pageMargins left="0.0784722222222222" right="0.038194444444444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S3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P13" activeCellId="0" sqref="P13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7" width="12.62"/>
    <col collapsed="false" customWidth="true" hidden="false" outlineLevel="0" max="3" min="3" style="87" width="32.62"/>
    <col collapsed="false" customWidth="true" hidden="false" outlineLevel="0" max="13" min="4" style="87" width="9.62"/>
    <col collapsed="false" customWidth="true" hidden="false" outlineLevel="0" max="15" min="14" style="88" width="9.62"/>
    <col collapsed="false" customWidth="true" hidden="false" outlineLevel="0" max="17" min="16" style="87" width="9.62"/>
    <col collapsed="false" customWidth="false" hidden="false" outlineLevel="0" max="18" min="18" style="87" width="8.62"/>
    <col collapsed="false" customWidth="true" hidden="false" outlineLevel="0" max="19" min="19" style="87" width="17"/>
    <col collapsed="false" customWidth="false" hidden="false" outlineLevel="0" max="260" min="20" style="87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0" t="str">
        <f aca="false">"DESLOCAMENTO BASE "&amp;Resumo!B5</f>
        <v>DESLOCAMENTO BASE CAXIAS DO SUL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customFormat="false" ht="15" hidden="false" customHeight="true" outlineLevel="0" collapsed="false"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</row>
    <row r="4" customFormat="false" ht="37.5" hidden="false" customHeight="true" outlineLevel="0" collapsed="false">
      <c r="B4" s="23" t="s">
        <v>100</v>
      </c>
      <c r="C4" s="23" t="str">
        <f aca="false">"Rota (saída e retorno "&amp;Resumo!B5&amp;")"</f>
        <v>Rota (saída e retorno CAXIAS DO SUL)</v>
      </c>
      <c r="D4" s="23" t="s">
        <v>101</v>
      </c>
      <c r="E4" s="23" t="s">
        <v>102</v>
      </c>
      <c r="F4" s="23" t="s">
        <v>103</v>
      </c>
      <c r="G4" s="23" t="s">
        <v>104</v>
      </c>
      <c r="H4" s="23" t="s">
        <v>105</v>
      </c>
      <c r="I4" s="23" t="s">
        <v>106</v>
      </c>
      <c r="J4" s="23" t="s">
        <v>107</v>
      </c>
      <c r="K4" s="23" t="s">
        <v>108</v>
      </c>
      <c r="L4" s="23" t="s">
        <v>109</v>
      </c>
      <c r="M4" s="90" t="s">
        <v>110</v>
      </c>
      <c r="N4" s="23" t="s">
        <v>111</v>
      </c>
      <c r="O4" s="23" t="s">
        <v>112</v>
      </c>
      <c r="P4" s="23" t="s">
        <v>113</v>
      </c>
      <c r="Q4" s="23" t="s">
        <v>67</v>
      </c>
      <c r="R4" s="34" t="s">
        <v>114</v>
      </c>
      <c r="S4" s="34" t="s">
        <v>115</v>
      </c>
    </row>
    <row r="5" customFormat="false" ht="15.75" hidden="false" customHeight="true" outlineLevel="0" collapsed="false">
      <c r="B5" s="51" t="n">
        <v>1</v>
      </c>
      <c r="C5" s="91" t="s">
        <v>81</v>
      </c>
      <c r="D5" s="92" t="n">
        <v>0</v>
      </c>
      <c r="E5" s="92" t="n">
        <v>0</v>
      </c>
      <c r="F5" s="92" t="n">
        <v>0</v>
      </c>
      <c r="G5" s="93" t="n">
        <f aca="false">SUM(D5:F5)</f>
        <v>0</v>
      </c>
      <c r="H5" s="94" t="n">
        <v>0</v>
      </c>
      <c r="I5" s="94" t="n">
        <v>0</v>
      </c>
      <c r="J5" s="94" t="n">
        <v>0</v>
      </c>
      <c r="K5" s="95" t="n">
        <f aca="false">SUM(H5:J5)</f>
        <v>0</v>
      </c>
      <c r="L5" s="96" t="n">
        <f aca="false">K5/60</f>
        <v>0</v>
      </c>
      <c r="M5" s="97" t="n">
        <v>0</v>
      </c>
      <c r="N5" s="98" t="n">
        <v>1</v>
      </c>
      <c r="O5" s="99" t="n">
        <f aca="false">L5/N5</f>
        <v>0</v>
      </c>
      <c r="P5" s="100" t="n">
        <f aca="false">M5/N5</f>
        <v>0</v>
      </c>
      <c r="Q5" s="100" t="n">
        <v>0</v>
      </c>
      <c r="R5" s="101" t="str">
        <f aca="false">INDEX('Base Caxias do Sul'!$K$7:$K$16,MATCH('Desl. Base Caxias do Sul'!C5,'Base Caxias do Sul'!$B$7:$B$16,0))</f>
        <v>SIM</v>
      </c>
      <c r="S5" s="101" t="n">
        <v>1</v>
      </c>
    </row>
    <row r="6" customFormat="false" ht="15.75" hidden="false" customHeight="true" outlineLevel="0" collapsed="false">
      <c r="B6" s="51"/>
      <c r="C6" s="91" t="s">
        <v>83</v>
      </c>
      <c r="D6" s="92" t="n">
        <v>2</v>
      </c>
      <c r="E6" s="92" t="n">
        <v>2.2</v>
      </c>
      <c r="F6" s="92" t="n">
        <v>0</v>
      </c>
      <c r="G6" s="93" t="n">
        <f aca="false">SUM(D6:F6)</f>
        <v>4.2</v>
      </c>
      <c r="H6" s="94" t="n">
        <v>6</v>
      </c>
      <c r="I6" s="94" t="n">
        <v>5</v>
      </c>
      <c r="J6" s="94" t="n">
        <v>0</v>
      </c>
      <c r="K6" s="95" t="n">
        <f aca="false">SUM(H6:J6)</f>
        <v>11</v>
      </c>
      <c r="L6" s="96" t="n">
        <f aca="false">K6/60</f>
        <v>0.183333333333333</v>
      </c>
      <c r="M6" s="97" t="n">
        <v>0</v>
      </c>
      <c r="N6" s="98" t="n">
        <v>1</v>
      </c>
      <c r="O6" s="99" t="n">
        <f aca="false">L6/N6</f>
        <v>0.183333333333333</v>
      </c>
      <c r="P6" s="100" t="n">
        <f aca="false">M6/N6</f>
        <v>0</v>
      </c>
      <c r="Q6" s="100" t="n">
        <v>0</v>
      </c>
      <c r="R6" s="101" t="str">
        <f aca="false">INDEX('Base Caxias do Sul'!$K$7:$K$16,MATCH('Desl. Base Caxias do Sul'!C6,'Base Caxias do Sul'!$B$7:$B$16,0))</f>
        <v>NÃO</v>
      </c>
      <c r="S6" s="101" t="n">
        <v>1</v>
      </c>
    </row>
    <row r="7" customFormat="false" ht="15.75" hidden="false" customHeight="true" outlineLevel="0" collapsed="false">
      <c r="B7" s="51" t="n">
        <v>2</v>
      </c>
      <c r="C7" s="91" t="s">
        <v>85</v>
      </c>
      <c r="D7" s="92" t="n">
        <v>0.7</v>
      </c>
      <c r="E7" s="92" t="n">
        <v>17.8</v>
      </c>
      <c r="F7" s="92" t="n">
        <v>18.1</v>
      </c>
      <c r="G7" s="102" t="n">
        <f aca="false">SUM(D7:F7)</f>
        <v>36.6</v>
      </c>
      <c r="H7" s="103" t="n">
        <v>2</v>
      </c>
      <c r="I7" s="103" t="n">
        <v>19</v>
      </c>
      <c r="J7" s="103" t="n">
        <v>22</v>
      </c>
      <c r="K7" s="104" t="n">
        <f aca="false">SUM(H7:J7)</f>
        <v>43</v>
      </c>
      <c r="L7" s="105" t="n">
        <f aca="false">K7/60</f>
        <v>0.716666666666667</v>
      </c>
      <c r="M7" s="100" t="n">
        <v>0</v>
      </c>
      <c r="N7" s="106" t="n">
        <v>2</v>
      </c>
      <c r="O7" s="99" t="n">
        <f aca="false">L7/N7</f>
        <v>0.358333333333333</v>
      </c>
      <c r="P7" s="100" t="n">
        <f aca="false">M7/N7</f>
        <v>0</v>
      </c>
      <c r="Q7" s="100" t="n">
        <v>0</v>
      </c>
      <c r="R7" s="101" t="str">
        <f aca="false">INDEX('Base Caxias do Sul'!$K$7:$K$16,MATCH('Desl. Base Caxias do Sul'!C7,'Base Caxias do Sul'!$B$7:$B$16,0))</f>
        <v>NÃO</v>
      </c>
      <c r="S7" s="101" t="n">
        <v>0</v>
      </c>
    </row>
    <row r="8" customFormat="false" ht="15.75" hidden="false" customHeight="true" outlineLevel="0" collapsed="false">
      <c r="B8" s="51"/>
      <c r="C8" s="91" t="s">
        <v>86</v>
      </c>
      <c r="D8" s="92"/>
      <c r="E8" s="92"/>
      <c r="F8" s="92"/>
      <c r="G8" s="102"/>
      <c r="H8" s="103"/>
      <c r="I8" s="103"/>
      <c r="J8" s="103"/>
      <c r="K8" s="104"/>
      <c r="L8" s="105"/>
      <c r="M8" s="100"/>
      <c r="N8" s="106"/>
      <c r="O8" s="99" t="n">
        <f aca="false">O7</f>
        <v>0.358333333333333</v>
      </c>
      <c r="P8" s="100" t="n">
        <f aca="false">P7</f>
        <v>0</v>
      </c>
      <c r="Q8" s="100" t="n">
        <v>0</v>
      </c>
      <c r="R8" s="101" t="str">
        <f aca="false">INDEX('Base Caxias do Sul'!$K$7:$K$16,MATCH('Desl. Base Caxias do Sul'!C8,'Base Caxias do Sul'!$B$7:$B$16,0))</f>
        <v>NÃO</v>
      </c>
      <c r="S8" s="101" t="n">
        <v>0</v>
      </c>
    </row>
    <row r="9" customFormat="false" ht="15.75" hidden="false" customHeight="true" outlineLevel="0" collapsed="false">
      <c r="B9" s="51" t="n">
        <v>3</v>
      </c>
      <c r="C9" s="91" t="s">
        <v>87</v>
      </c>
      <c r="D9" s="92" t="n">
        <v>43.6</v>
      </c>
      <c r="E9" s="92" t="n">
        <f aca="false">52.4-D9</f>
        <v>8.8</v>
      </c>
      <c r="F9" s="92" t="n">
        <v>43.3</v>
      </c>
      <c r="G9" s="102" t="n">
        <f aca="false">SUM(D9:F9)</f>
        <v>95.7</v>
      </c>
      <c r="H9" s="103" t="n">
        <v>54</v>
      </c>
      <c r="I9" s="103" t="n">
        <v>12</v>
      </c>
      <c r="J9" s="103" t="n">
        <v>45</v>
      </c>
      <c r="K9" s="104" t="n">
        <f aca="false">SUM(H9:J9)</f>
        <v>111</v>
      </c>
      <c r="L9" s="105" t="n">
        <f aca="false">K9/60</f>
        <v>1.85</v>
      </c>
      <c r="M9" s="100" t="n">
        <v>0</v>
      </c>
      <c r="N9" s="106" t="n">
        <v>2</v>
      </c>
      <c r="O9" s="99" t="n">
        <f aca="false">L9/N9</f>
        <v>0.925</v>
      </c>
      <c r="P9" s="100" t="n">
        <f aca="false">M9/N9</f>
        <v>0</v>
      </c>
      <c r="Q9" s="100" t="n">
        <v>0</v>
      </c>
      <c r="R9" s="101" t="str">
        <f aca="false">INDEX('Base Caxias do Sul'!$K$7:$K$16,MATCH('Desl. Base Caxias do Sul'!C9,'Base Caxias do Sul'!$B$7:$B$16,0))</f>
        <v>NÃO</v>
      </c>
      <c r="S9" s="101" t="n">
        <v>0</v>
      </c>
    </row>
    <row r="10" customFormat="false" ht="15.75" hidden="false" customHeight="true" outlineLevel="0" collapsed="false">
      <c r="B10" s="51"/>
      <c r="C10" s="91" t="s">
        <v>89</v>
      </c>
      <c r="D10" s="92"/>
      <c r="E10" s="92"/>
      <c r="F10" s="92"/>
      <c r="G10" s="102"/>
      <c r="H10" s="103"/>
      <c r="I10" s="103"/>
      <c r="J10" s="103"/>
      <c r="K10" s="104"/>
      <c r="L10" s="105"/>
      <c r="M10" s="100"/>
      <c r="N10" s="106"/>
      <c r="O10" s="99" t="n">
        <f aca="false">O9</f>
        <v>0.925</v>
      </c>
      <c r="P10" s="100" t="n">
        <f aca="false">P9</f>
        <v>0</v>
      </c>
      <c r="Q10" s="100" t="n">
        <v>0</v>
      </c>
      <c r="R10" s="101" t="str">
        <f aca="false">INDEX('Base Caxias do Sul'!$K$7:$K$16,MATCH('Desl. Base Caxias do Sul'!C10,'Base Caxias do Sul'!$B$7:$B$16,0))</f>
        <v>NÃO</v>
      </c>
      <c r="S10" s="101" t="n">
        <v>0</v>
      </c>
    </row>
    <row r="11" customFormat="false" ht="15.75" hidden="false" customHeight="true" outlineLevel="0" collapsed="false">
      <c r="B11" s="51" t="n">
        <v>4</v>
      </c>
      <c r="C11" s="91" t="s">
        <v>90</v>
      </c>
      <c r="D11" s="92" t="n">
        <v>40.6</v>
      </c>
      <c r="E11" s="92" t="n">
        <f aca="false">63.1-D11</f>
        <v>22.5</v>
      </c>
      <c r="F11" s="92" t="n">
        <v>20.6</v>
      </c>
      <c r="G11" s="102" t="n">
        <f aca="false">SUM(D11:F11)</f>
        <v>83.7</v>
      </c>
      <c r="H11" s="103" t="n">
        <v>46</v>
      </c>
      <c r="I11" s="103" t="n">
        <v>31</v>
      </c>
      <c r="J11" s="103" t="n">
        <v>26</v>
      </c>
      <c r="K11" s="104" t="n">
        <f aca="false">SUM(H11:J11)</f>
        <v>103</v>
      </c>
      <c r="L11" s="105" t="n">
        <f aca="false">K11/60</f>
        <v>1.71666666666667</v>
      </c>
      <c r="M11" s="100" t="n">
        <v>0</v>
      </c>
      <c r="N11" s="106" t="n">
        <v>2</v>
      </c>
      <c r="O11" s="99" t="n">
        <f aca="false">L11/N11</f>
        <v>0.858333333333333</v>
      </c>
      <c r="P11" s="100" t="n">
        <f aca="false">M11/N11</f>
        <v>0</v>
      </c>
      <c r="Q11" s="100" t="n">
        <v>0</v>
      </c>
      <c r="R11" s="101" t="str">
        <f aca="false">INDEX('Base Caxias do Sul'!$K$7:$K$16,MATCH('Desl. Base Caxias do Sul'!C11,'Base Caxias do Sul'!$B$7:$B$16,0))</f>
        <v>NÃO</v>
      </c>
      <c r="S11" s="101" t="n">
        <v>0</v>
      </c>
    </row>
    <row r="12" customFormat="false" ht="15.75" hidden="false" customHeight="true" outlineLevel="0" collapsed="false">
      <c r="B12" s="51"/>
      <c r="C12" s="91" t="s">
        <v>92</v>
      </c>
      <c r="D12" s="92"/>
      <c r="E12" s="92"/>
      <c r="F12" s="92"/>
      <c r="G12" s="102"/>
      <c r="H12" s="103"/>
      <c r="I12" s="103"/>
      <c r="J12" s="103"/>
      <c r="K12" s="104"/>
      <c r="L12" s="105"/>
      <c r="M12" s="100"/>
      <c r="N12" s="106"/>
      <c r="O12" s="99" t="n">
        <f aca="false">O11</f>
        <v>0.858333333333333</v>
      </c>
      <c r="P12" s="100" t="n">
        <f aca="false">P11</f>
        <v>0</v>
      </c>
      <c r="Q12" s="100" t="n">
        <v>0</v>
      </c>
      <c r="R12" s="101" t="str">
        <f aca="false">INDEX('Base Caxias do Sul'!$K$7:$K$16,MATCH('Desl. Base Caxias do Sul'!C12,'Base Caxias do Sul'!$B$7:$B$16,0))</f>
        <v>NÃO</v>
      </c>
      <c r="S12" s="101" t="n">
        <v>0</v>
      </c>
    </row>
    <row r="13" customFormat="false" ht="15.75" hidden="false" customHeight="true" outlineLevel="0" collapsed="false">
      <c r="B13" s="107" t="n">
        <v>5</v>
      </c>
      <c r="C13" s="91" t="s">
        <v>93</v>
      </c>
      <c r="D13" s="92" t="n">
        <v>77.4</v>
      </c>
      <c r="E13" s="92" t="n">
        <v>76.4</v>
      </c>
      <c r="F13" s="92" t="n">
        <v>0</v>
      </c>
      <c r="G13" s="93" t="n">
        <f aca="false">SUM(D13:F13)</f>
        <v>153.8</v>
      </c>
      <c r="H13" s="94" t="n">
        <v>94</v>
      </c>
      <c r="I13" s="94" t="n">
        <v>86</v>
      </c>
      <c r="J13" s="94" t="n">
        <v>0</v>
      </c>
      <c r="K13" s="95" t="n">
        <f aca="false">SUM(H13:J13)</f>
        <v>180</v>
      </c>
      <c r="L13" s="96" t="n">
        <f aca="false">K13/60</f>
        <v>3</v>
      </c>
      <c r="M13" s="97" t="n">
        <v>14.2</v>
      </c>
      <c r="N13" s="98" t="n">
        <v>1</v>
      </c>
      <c r="O13" s="99" t="n">
        <f aca="false">L13/N13</f>
        <v>3</v>
      </c>
      <c r="P13" s="100" t="n">
        <f aca="false">M13/N13</f>
        <v>14.2</v>
      </c>
      <c r="Q13" s="100" t="n">
        <v>0</v>
      </c>
      <c r="R13" s="101" t="str">
        <f aca="false">INDEX('Base Caxias do Sul'!$K$7:$K$16,MATCH('Desl. Base Caxias do Sul'!C13,'Base Caxias do Sul'!$B$7:$B$16,0))</f>
        <v>SIM</v>
      </c>
      <c r="S13" s="101" t="n">
        <v>1</v>
      </c>
    </row>
    <row r="14" customFormat="false" ht="15.75" hidden="false" customHeight="true" outlineLevel="0" collapsed="false">
      <c r="B14" s="51" t="n">
        <v>6</v>
      </c>
      <c r="C14" s="91" t="s">
        <v>95</v>
      </c>
      <c r="D14" s="92" t="n">
        <v>201</v>
      </c>
      <c r="E14" s="92" t="n">
        <v>201</v>
      </c>
      <c r="F14" s="92" t="n">
        <v>0</v>
      </c>
      <c r="G14" s="102" t="n">
        <f aca="false">SUM(D14:F14)</f>
        <v>402</v>
      </c>
      <c r="H14" s="103" t="n">
        <v>145</v>
      </c>
      <c r="I14" s="103" t="n">
        <v>144</v>
      </c>
      <c r="J14" s="103" t="n">
        <v>0</v>
      </c>
      <c r="K14" s="104" t="n">
        <f aca="false">SUM(H14:J14)</f>
        <v>289</v>
      </c>
      <c r="L14" s="105" t="n">
        <f aca="false">K14/60</f>
        <v>4.81666666666667</v>
      </c>
      <c r="M14" s="100" t="n">
        <v>11</v>
      </c>
      <c r="N14" s="106" t="n">
        <v>1</v>
      </c>
      <c r="O14" s="99" t="n">
        <f aca="false">L14/N14</f>
        <v>4.81666666666667</v>
      </c>
      <c r="P14" s="100" t="n">
        <f aca="false">M14/N14</f>
        <v>11</v>
      </c>
      <c r="Q14" s="100" t="n">
        <v>0</v>
      </c>
      <c r="R14" s="101" t="str">
        <f aca="false">INDEX('Base Caxias do Sul'!$K$7:$K$16,MATCH('Desl. Base Caxias do Sul'!C14,'Base Caxias do Sul'!$B$7:$B$16,0))</f>
        <v>NÃO</v>
      </c>
      <c r="S14" s="101" t="n">
        <v>0</v>
      </c>
    </row>
    <row r="15" customFormat="false" ht="19.5" hidden="false" customHeight="true" outlineLevel="0" collapsed="false">
      <c r="B15" s="108" t="s">
        <v>96</v>
      </c>
      <c r="C15" s="108"/>
      <c r="D15" s="108"/>
      <c r="E15" s="108"/>
      <c r="F15" s="108"/>
      <c r="G15" s="109" t="n">
        <f aca="false">SUM(G5:G14)</f>
        <v>776</v>
      </c>
      <c r="H15" s="110" t="s">
        <v>96</v>
      </c>
      <c r="I15" s="110"/>
      <c r="J15" s="110"/>
      <c r="K15" s="111" t="n">
        <f aca="false">SUM(K5:K14)</f>
        <v>737</v>
      </c>
      <c r="L15" s="112" t="n">
        <f aca="false">SUM(L5:L14)</f>
        <v>12.2833333333333</v>
      </c>
      <c r="M15" s="113" t="n">
        <f aca="false">SUM(M5:M14)</f>
        <v>25.2</v>
      </c>
      <c r="N15" s="114" t="n">
        <f aca="false">SUM(N5:N14)</f>
        <v>10</v>
      </c>
      <c r="O15" s="112"/>
      <c r="P15" s="113"/>
      <c r="Q15" s="113" t="n">
        <f aca="false">SUM(Q5:Q14)</f>
        <v>0</v>
      </c>
      <c r="R15" s="113"/>
      <c r="S15" s="113"/>
    </row>
    <row r="16" customFormat="false" ht="16.5" hidden="false" customHeight="true" outlineLevel="0" collapsed="false">
      <c r="B16" s="115"/>
      <c r="C16" s="115"/>
      <c r="D16" s="115"/>
      <c r="E16" s="115"/>
      <c r="F16" s="115"/>
    </row>
    <row r="17" customFormat="false" ht="18.75" hidden="false" customHeight="true" outlineLevel="0" collapsed="false">
      <c r="B17" s="116" t="s">
        <v>116</v>
      </c>
      <c r="C17" s="116"/>
      <c r="D17" s="116"/>
      <c r="E17" s="116"/>
      <c r="F17" s="115"/>
      <c r="G17" s="115"/>
      <c r="H17" s="115"/>
      <c r="I17" s="115"/>
      <c r="J17" s="115"/>
      <c r="K17" s="115"/>
      <c r="L17" s="115"/>
      <c r="M17" s="115"/>
      <c r="N17" s="117"/>
      <c r="O17" s="117"/>
    </row>
    <row r="18" customFormat="false" ht="18.75" hidden="false" customHeight="true" outlineLevel="0" collapsed="false">
      <c r="B18" s="118" t="s">
        <v>117</v>
      </c>
      <c r="C18" s="118" t="s">
        <v>118</v>
      </c>
      <c r="D18" s="118" t="s">
        <v>119</v>
      </c>
      <c r="E18" s="118" t="s">
        <v>120</v>
      </c>
      <c r="F18" s="115"/>
      <c r="G18" s="115"/>
      <c r="H18" s="117"/>
      <c r="I18" s="117"/>
      <c r="J18" s="115"/>
      <c r="K18" s="115"/>
      <c r="L18" s="115"/>
      <c r="M18" s="115"/>
      <c r="N18" s="117"/>
      <c r="O18" s="117"/>
    </row>
    <row r="19" customFormat="false" ht="18.75" hidden="false" customHeight="true" outlineLevel="0" collapsed="false">
      <c r="B19" s="51" t="s">
        <v>121</v>
      </c>
      <c r="C19" s="119" t="s">
        <v>122</v>
      </c>
      <c r="D19" s="51" t="s">
        <v>123</v>
      </c>
      <c r="E19" s="120" t="n">
        <f aca="false">'Comp. Veículo'!D11</f>
        <v>52.49</v>
      </c>
      <c r="F19" s="115"/>
      <c r="G19" s="115"/>
      <c r="H19" s="121"/>
      <c r="I19" s="121"/>
      <c r="J19" s="115"/>
      <c r="K19" s="115"/>
      <c r="L19" s="115"/>
      <c r="M19" s="115"/>
      <c r="N19" s="117"/>
      <c r="O19" s="117"/>
    </row>
    <row r="20" customFormat="false" ht="18.75" hidden="false" customHeight="true" outlineLevel="0" collapsed="false">
      <c r="B20" s="107" t="s">
        <v>124</v>
      </c>
      <c r="C20" s="122" t="s">
        <v>122</v>
      </c>
      <c r="D20" s="107" t="s">
        <v>125</v>
      </c>
      <c r="E20" s="123" t="n">
        <f aca="false">'Comp. Veículo'!D27</f>
        <v>6.56</v>
      </c>
      <c r="F20" s="115"/>
      <c r="G20" s="115"/>
      <c r="H20" s="121"/>
      <c r="I20" s="121"/>
      <c r="J20" s="115"/>
      <c r="K20" s="115"/>
      <c r="L20" s="115"/>
      <c r="M20" s="115"/>
      <c r="N20" s="117"/>
      <c r="O20" s="117"/>
    </row>
    <row r="21" customFormat="false" ht="47.25" hidden="false" customHeight="true" outlineLevel="0" collapsed="false">
      <c r="B21" s="124" t="s">
        <v>126</v>
      </c>
      <c r="C21" s="124"/>
      <c r="D21" s="124"/>
      <c r="E21" s="124"/>
      <c r="F21" s="125"/>
      <c r="G21" s="125"/>
      <c r="H21" s="125"/>
      <c r="I21" s="125"/>
      <c r="J21" s="125"/>
      <c r="K21" s="125"/>
      <c r="L21" s="125"/>
      <c r="M21" s="115"/>
      <c r="N21" s="117"/>
      <c r="O21" s="117"/>
    </row>
    <row r="22" customFormat="false" ht="16.5" hidden="false" customHeight="true" outlineLevel="0" collapsed="false">
      <c r="B22" s="126"/>
      <c r="C22" s="126"/>
      <c r="D22" s="126"/>
      <c r="E22" s="126"/>
      <c r="F22" s="125"/>
      <c r="G22" s="125"/>
      <c r="H22" s="125"/>
      <c r="I22" s="125"/>
      <c r="J22" s="125"/>
      <c r="K22" s="125"/>
      <c r="L22" s="125"/>
      <c r="M22" s="115"/>
      <c r="N22" s="117"/>
      <c r="O22" s="117"/>
    </row>
    <row r="23" customFormat="false" ht="16.5" hidden="false" customHeight="true" outlineLevel="0" collapsed="false">
      <c r="B23" s="116" t="s">
        <v>127</v>
      </c>
      <c r="C23" s="116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7"/>
      <c r="O23" s="117"/>
    </row>
    <row r="24" customFormat="false" ht="16.5" hidden="false" customHeight="true" outlineLevel="0" collapsed="false">
      <c r="B24" s="51" t="s">
        <v>123</v>
      </c>
      <c r="C24" s="120" t="n">
        <f aca="false">E19*L15</f>
        <v>644.752166666667</v>
      </c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7"/>
      <c r="O24" s="117"/>
    </row>
    <row r="25" customFormat="false" ht="16.5" hidden="false" customHeight="true" outlineLevel="0" collapsed="false">
      <c r="B25" s="51" t="s">
        <v>125</v>
      </c>
      <c r="C25" s="120" t="n">
        <f aca="false">E20*('Base Caxias do Sul'!N17/12)</f>
        <v>199.943333333333</v>
      </c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7"/>
      <c r="O25" s="117"/>
    </row>
    <row r="26" customFormat="false" ht="16.5" hidden="false" customHeight="true" outlineLevel="0" collapsed="false">
      <c r="B26" s="127" t="s">
        <v>28</v>
      </c>
      <c r="C26" s="128" t="n">
        <f aca="false">C24+C25</f>
        <v>844.6955</v>
      </c>
      <c r="D26" s="115"/>
      <c r="E26" s="115"/>
      <c r="F26" s="115"/>
      <c r="G26" s="115"/>
      <c r="H26" s="115"/>
      <c r="I26" s="115"/>
      <c r="M26" s="115"/>
      <c r="N26" s="117"/>
      <c r="O26" s="117"/>
    </row>
    <row r="27" customFormat="false" ht="16.5" hidden="false" customHeight="true" outlineLevel="0" collapsed="false">
      <c r="B27" s="115"/>
      <c r="C27" s="129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7"/>
      <c r="O27" s="117"/>
    </row>
    <row r="28" customFormat="false" ht="16.5" hidden="false" customHeight="true" outlineLevel="0" collapsed="false">
      <c r="B28" s="130" t="s">
        <v>128</v>
      </c>
      <c r="C28" s="130"/>
      <c r="D28" s="115"/>
      <c r="J28" s="115"/>
      <c r="K28" s="115"/>
      <c r="L28" s="115"/>
      <c r="M28" s="115"/>
      <c r="N28" s="117"/>
      <c r="O28" s="117"/>
    </row>
    <row r="29" customFormat="false" ht="16.5" hidden="false" customHeight="true" outlineLevel="0" collapsed="false">
      <c r="B29" s="131" t="s">
        <v>120</v>
      </c>
      <c r="C29" s="132" t="n">
        <f aca="false">SUM(M5:M14)</f>
        <v>25.2</v>
      </c>
      <c r="J29" s="115"/>
      <c r="K29" s="115"/>
      <c r="L29" s="115"/>
      <c r="M29" s="115"/>
      <c r="N29" s="117"/>
      <c r="O29" s="117"/>
    </row>
    <row r="30" customFormat="false" ht="16.5" hidden="false" customHeight="true" outlineLevel="0" collapsed="false">
      <c r="B30" s="115"/>
      <c r="C30" s="133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7"/>
      <c r="O30" s="117"/>
    </row>
    <row r="31" customFormat="false" ht="14.25" hidden="false" customHeight="false" outlineLevel="0" collapsed="false">
      <c r="B31" s="134" t="s">
        <v>129</v>
      </c>
      <c r="C31" s="135"/>
    </row>
  </sheetData>
  <mergeCells count="44">
    <mergeCell ref="B2:Q2"/>
    <mergeCell ref="B5:B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15:F15"/>
    <mergeCell ref="H15:J15"/>
    <mergeCell ref="B17:E17"/>
    <mergeCell ref="B21:E21"/>
    <mergeCell ref="B23:C23"/>
    <mergeCell ref="B28:C28"/>
  </mergeCells>
  <printOptions headings="false" gridLines="false" gridLinesSet="true" horizontalCentered="true" verticalCentered="tru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A1:ALX104857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T12" activeCellId="0" sqref="AT12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8" width="33.62"/>
    <col collapsed="false" customWidth="true" hidden="false" outlineLevel="0" max="15" min="3" style="18" width="12.62"/>
    <col collapsed="false" customWidth="true" hidden="false" outlineLevel="0" max="16" min="16" style="18" width="9.62"/>
    <col collapsed="false" customWidth="true" hidden="false" outlineLevel="0" max="17" min="17" style="18" width="31.62"/>
    <col collapsed="false" customWidth="true" hidden="false" outlineLevel="0" max="33" min="18" style="18" width="11.5"/>
    <col collapsed="false" customWidth="true" hidden="false" outlineLevel="0" max="34" min="34" style="18" width="11"/>
    <col collapsed="false" customWidth="true" hidden="false" outlineLevel="0" max="35" min="35" style="18" width="31.62"/>
    <col collapsed="false" customWidth="true" hidden="false" outlineLevel="0" max="40" min="36" style="18" width="10.75"/>
    <col collapsed="false" customWidth="true" hidden="false" outlineLevel="0" max="41" min="41" style="18" width="14.5"/>
    <col collapsed="false" customWidth="true" hidden="false" outlineLevel="0" max="42" min="42" style="18" width="12.5"/>
    <col collapsed="false" customWidth="true" hidden="false" outlineLevel="0" max="43" min="43" style="18" width="14.25"/>
    <col collapsed="false" customWidth="true" hidden="false" outlineLevel="0" max="44" min="44" style="18" width="2.62"/>
    <col collapsed="false" customWidth="true" hidden="false" outlineLevel="0" max="45" min="45" style="18" width="28.12"/>
    <col collapsed="false" customWidth="true" hidden="false" outlineLevel="0" max="46" min="46" style="18" width="12.76"/>
    <col collapsed="false" customWidth="true" hidden="false" outlineLevel="0" max="49" min="47" style="18" width="11.75"/>
    <col collapsed="false" customWidth="true" hidden="false" outlineLevel="0" max="66" min="50" style="18" width="10.75"/>
    <col collapsed="false" customWidth="true" hidden="false" outlineLevel="0" max="256" min="67" style="2" width="10.75"/>
    <col collapsed="false" customWidth="true" hidden="false" outlineLevel="0" max="1012" min="257" style="1" width="10.62"/>
  </cols>
  <sheetData>
    <row r="1" customFormat="false" ht="15" hidden="false" customHeight="true" outlineLevel="0" collapsed="false"/>
    <row r="2" s="54" customFormat="true" ht="24.75" hidden="false" customHeight="true" outlineLevel="0" collapsed="false">
      <c r="B2" s="55" t="str">
        <f aca="false">"BASE "&amp;Resumo!B6&amp;" - PLANILHA DE FORMAÇÃO DE PREÇOS"</f>
        <v>BASE NOVO HAMBURGO - PLANILHA DE FORMAÇÃO DE PREÇOS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6"/>
      <c r="Q2" s="44" t="str">
        <f aca="false">"BASE "&amp;Resumo!B6&amp;" – PLANILHA DE DISTRIBUIÇÃO DE CUSTOS POR UNIDADE"</f>
        <v>BASE NOVO HAMBURGO – PLANILHA DE DISTRIBUIÇÃO DE CUSTOS POR UNIDADE</v>
      </c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5"/>
      <c r="AI2" s="58" t="str">
        <f aca="false">"BASE "&amp;Resumo!B6&amp;" – PLANILHA RESUMO DE CUSTOS DA BASE"</f>
        <v>BASE NOVO HAMBURGO – PLANILHA RESUMO DE CUSTOS DA BASE</v>
      </c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</row>
    <row r="3" customFormat="false" ht="15" hidden="false" customHeight="true" outlineLevel="0" collapsed="false">
      <c r="B3" s="54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</row>
    <row r="4" customFormat="false" ht="19.5" hidden="false" customHeight="true" outlineLevel="0" collapsed="false">
      <c r="B4" s="47" t="s">
        <v>41</v>
      </c>
      <c r="C4" s="47" t="s">
        <v>42</v>
      </c>
      <c r="D4" s="47"/>
      <c r="E4" s="47"/>
      <c r="F4" s="47"/>
      <c r="G4" s="47"/>
      <c r="H4" s="47" t="s">
        <v>43</v>
      </c>
      <c r="I4" s="47"/>
      <c r="J4" s="47"/>
      <c r="K4" s="47"/>
      <c r="L4" s="47"/>
      <c r="M4" s="47"/>
      <c r="N4" s="47"/>
      <c r="O4" s="47" t="s">
        <v>28</v>
      </c>
      <c r="P4" s="56"/>
      <c r="Q4" s="47" t="s">
        <v>44</v>
      </c>
      <c r="R4" s="59" t="s">
        <v>45</v>
      </c>
      <c r="S4" s="59"/>
      <c r="T4" s="59"/>
      <c r="U4" s="59"/>
      <c r="V4" s="59" t="s">
        <v>46</v>
      </c>
      <c r="W4" s="59"/>
      <c r="X4" s="59"/>
      <c r="Y4" s="59"/>
      <c r="Z4" s="59" t="s">
        <v>47</v>
      </c>
      <c r="AA4" s="59"/>
      <c r="AB4" s="59"/>
      <c r="AC4" s="59"/>
      <c r="AD4" s="59" t="s">
        <v>48</v>
      </c>
      <c r="AE4" s="59"/>
      <c r="AF4" s="59"/>
      <c r="AG4" s="59"/>
      <c r="AH4" s="57"/>
      <c r="AI4" s="47" t="s">
        <v>44</v>
      </c>
      <c r="AJ4" s="60" t="s">
        <v>49</v>
      </c>
      <c r="AK4" s="60"/>
      <c r="AL4" s="60"/>
      <c r="AM4" s="60"/>
      <c r="AN4" s="60"/>
      <c r="AO4" s="60" t="s">
        <v>50</v>
      </c>
      <c r="AP4" s="60"/>
      <c r="AQ4" s="60"/>
      <c r="AR4" s="61"/>
      <c r="AS4" s="60" t="str">
        <f aca="false">"Resumo de Custos da Base "&amp;Resumo!B6</f>
        <v>Resumo de Custos da Base NOVO HAMBURGO</v>
      </c>
      <c r="AT4" s="60"/>
      <c r="AU4" s="60"/>
      <c r="AV4" s="60"/>
      <c r="AW4" s="60"/>
    </row>
    <row r="5" customFormat="false" ht="39.75" hidden="false" customHeight="true" outlineLevel="0" collapsed="false">
      <c r="B5" s="47"/>
      <c r="C5" s="47" t="s">
        <v>28</v>
      </c>
      <c r="D5" s="47" t="s">
        <v>51</v>
      </c>
      <c r="E5" s="47" t="s">
        <v>52</v>
      </c>
      <c r="F5" s="47" t="s">
        <v>53</v>
      </c>
      <c r="G5" s="47" t="s">
        <v>54</v>
      </c>
      <c r="H5" s="47" t="s">
        <v>55</v>
      </c>
      <c r="I5" s="47" t="s">
        <v>56</v>
      </c>
      <c r="J5" s="47" t="s">
        <v>57</v>
      </c>
      <c r="K5" s="47" t="s">
        <v>58</v>
      </c>
      <c r="L5" s="47" t="s">
        <v>59</v>
      </c>
      <c r="M5" s="47" t="s">
        <v>60</v>
      </c>
      <c r="N5" s="47" t="s">
        <v>61</v>
      </c>
      <c r="O5" s="47"/>
      <c r="P5" s="56"/>
      <c r="Q5" s="47"/>
      <c r="R5" s="47" t="s">
        <v>62</v>
      </c>
      <c r="S5" s="47" t="s">
        <v>63</v>
      </c>
      <c r="T5" s="47" t="s">
        <v>64</v>
      </c>
      <c r="U5" s="47" t="s">
        <v>65</v>
      </c>
      <c r="V5" s="47" t="s">
        <v>66</v>
      </c>
      <c r="W5" s="47" t="s">
        <v>67</v>
      </c>
      <c r="X5" s="47" t="s">
        <v>68</v>
      </c>
      <c r="Y5" s="47" t="s">
        <v>69</v>
      </c>
      <c r="Z5" s="47" t="s">
        <v>70</v>
      </c>
      <c r="AA5" s="47"/>
      <c r="AB5" s="47"/>
      <c r="AC5" s="47" t="n">
        <f aca="false">N28+'Base Caxias do Sul'!N17</f>
        <v>1169.35</v>
      </c>
      <c r="AD5" s="59" t="s">
        <v>62</v>
      </c>
      <c r="AE5" s="59" t="s">
        <v>63</v>
      </c>
      <c r="AF5" s="59" t="s">
        <v>64</v>
      </c>
      <c r="AG5" s="59" t="s">
        <v>65</v>
      </c>
      <c r="AH5" s="43"/>
      <c r="AI5" s="47"/>
      <c r="AJ5" s="59" t="s">
        <v>71</v>
      </c>
      <c r="AK5" s="59" t="s">
        <v>62</v>
      </c>
      <c r="AL5" s="59" t="s">
        <v>63</v>
      </c>
      <c r="AM5" s="59" t="s">
        <v>64</v>
      </c>
      <c r="AN5" s="59" t="s">
        <v>65</v>
      </c>
      <c r="AO5" s="59" t="s">
        <v>72</v>
      </c>
      <c r="AP5" s="59" t="s">
        <v>73</v>
      </c>
      <c r="AQ5" s="59" t="s">
        <v>74</v>
      </c>
      <c r="AR5" s="57"/>
      <c r="AS5" s="59" t="s">
        <v>75</v>
      </c>
      <c r="AT5" s="59" t="s">
        <v>62</v>
      </c>
      <c r="AU5" s="59" t="s">
        <v>63</v>
      </c>
      <c r="AV5" s="59" t="s">
        <v>64</v>
      </c>
      <c r="AW5" s="59" t="s">
        <v>65</v>
      </c>
    </row>
    <row r="6" customFormat="false" ht="19.5" hidden="false" customHeight="true" outlineLevel="0" collapsed="false">
      <c r="B6" s="47"/>
      <c r="C6" s="62" t="s">
        <v>76</v>
      </c>
      <c r="D6" s="62" t="n">
        <v>1</v>
      </c>
      <c r="E6" s="62" t="n">
        <v>0.35</v>
      </c>
      <c r="F6" s="62" t="n">
        <v>0.1</v>
      </c>
      <c r="G6" s="47"/>
      <c r="H6" s="62" t="n">
        <v>1</v>
      </c>
      <c r="I6" s="62" t="n">
        <v>1.2</v>
      </c>
      <c r="J6" s="62" t="n">
        <v>2</v>
      </c>
      <c r="K6" s="62" t="n">
        <v>4</v>
      </c>
      <c r="L6" s="62" t="n">
        <v>1.1</v>
      </c>
      <c r="M6" s="62" t="n">
        <v>1.1</v>
      </c>
      <c r="N6" s="47"/>
      <c r="O6" s="47"/>
      <c r="P6" s="63"/>
      <c r="Q6" s="47"/>
      <c r="R6" s="62" t="s">
        <v>77</v>
      </c>
      <c r="S6" s="62" t="s">
        <v>78</v>
      </c>
      <c r="T6" s="62" t="s">
        <v>79</v>
      </c>
      <c r="U6" s="62" t="s">
        <v>80</v>
      </c>
      <c r="V6" s="47"/>
      <c r="W6" s="47"/>
      <c r="X6" s="47"/>
      <c r="Y6" s="47"/>
      <c r="Z6" s="37" t="s">
        <v>62</v>
      </c>
      <c r="AA6" s="37" t="s">
        <v>63</v>
      </c>
      <c r="AB6" s="37" t="s">
        <v>64</v>
      </c>
      <c r="AC6" s="37" t="s">
        <v>65</v>
      </c>
      <c r="AD6" s="59"/>
      <c r="AE6" s="59"/>
      <c r="AF6" s="59"/>
      <c r="AG6" s="59"/>
      <c r="AH6" s="57"/>
      <c r="AI6" s="47"/>
      <c r="AJ6" s="59"/>
      <c r="AK6" s="59"/>
      <c r="AL6" s="59"/>
      <c r="AM6" s="59"/>
      <c r="AN6" s="59"/>
      <c r="AO6" s="59"/>
      <c r="AP6" s="59" t="n">
        <f aca="false">'Base Caxias do Sul'!AP6</f>
        <v>2.63636363636364</v>
      </c>
      <c r="AQ6" s="59"/>
      <c r="AR6" s="64"/>
      <c r="AS6" s="59"/>
      <c r="AT6" s="37" t="s">
        <v>77</v>
      </c>
      <c r="AU6" s="37" t="s">
        <v>78</v>
      </c>
      <c r="AV6" s="37" t="s">
        <v>79</v>
      </c>
      <c r="AW6" s="37" t="s">
        <v>80</v>
      </c>
    </row>
    <row r="7" customFormat="false" ht="15" hidden="false" customHeight="true" outlineLevel="0" collapsed="false">
      <c r="B7" s="24" t="s">
        <v>130</v>
      </c>
      <c r="C7" s="66" t="n">
        <f aca="false">VLOOKUP($B7,Unidades!$D$5:$N$35,6,FALSE())</f>
        <v>2966.29</v>
      </c>
      <c r="D7" s="66" t="n">
        <f aca="false">VLOOKUP($B7,Unidades!$D$5:$N$35,7,FALSE())</f>
        <v>585.4</v>
      </c>
      <c r="E7" s="66" t="n">
        <f aca="false">VLOOKUP($B7,Unidades!$D$5:$N$35,8,FALSE())</f>
        <v>2380.89</v>
      </c>
      <c r="F7" s="66" t="n">
        <f aca="false">VLOOKUP($B7,Unidades!$D$5:$N$35,9,FALSE())</f>
        <v>0</v>
      </c>
      <c r="G7" s="66" t="n">
        <f aca="false">D7+$E$6*E7+$F$6*F7</f>
        <v>1418.7115</v>
      </c>
      <c r="H7" s="67" t="n">
        <f aca="false">IF(G7&lt;750,1.5,IF(G7&lt;2000,2,IF(G7&lt;4000,3,12)))</f>
        <v>2</v>
      </c>
      <c r="I7" s="67" t="n">
        <f aca="false">$I$6*H7</f>
        <v>2.4</v>
      </c>
      <c r="J7" s="67" t="str">
        <f aca="false">VLOOKUP($B7,Unidades!$D$5:$N$35,10,FALSE())</f>
        <v>SIM</v>
      </c>
      <c r="K7" s="67" t="str">
        <f aca="false">VLOOKUP($B7,Unidades!$D$5:$N$35,11,FALSE())</f>
        <v>NÃO</v>
      </c>
      <c r="L7" s="67" t="n">
        <f aca="false">$L$6*H7+(IF(J7="SIM",$J$6,0))</f>
        <v>4.2</v>
      </c>
      <c r="M7" s="67" t="n">
        <f aca="false">$M$6*H7+(IF(J7="SIM",$J$6,0))+(IF(K7="SIM",$K$6,0))</f>
        <v>4.2</v>
      </c>
      <c r="N7" s="67" t="n">
        <f aca="false">H7*12+I7*4+L7*2+M7</f>
        <v>46.2</v>
      </c>
      <c r="O7" s="68" t="n">
        <f aca="false">IF(K7="não", N7*(C$31+D$31),N7*(C$31+D$31)+(M7*+E$31))</f>
        <v>2261.9190132</v>
      </c>
      <c r="P7" s="69"/>
      <c r="Q7" s="24" t="str">
        <f aca="false">B7</f>
        <v>GEX NOVO HAMBURGO</v>
      </c>
      <c r="R7" s="26" t="n">
        <f aca="false">H7*($C$31+$D$31)</f>
        <v>97.918572</v>
      </c>
      <c r="S7" s="26" t="n">
        <f aca="false">I7*($C$31+$D$31)</f>
        <v>117.5022864</v>
      </c>
      <c r="T7" s="26" t="n">
        <f aca="false">L7*($C$31+$D$31)</f>
        <v>205.6290012</v>
      </c>
      <c r="U7" s="26" t="n">
        <f aca="false">IF(K7="não",M7*($C$31+$D$31),M7*(C$31+D$31+E$31))</f>
        <v>205.6290012</v>
      </c>
      <c r="V7" s="26" t="n">
        <f aca="false">VLOOKUP(Q7,'Desl. Base Novo Hamburgo'!$C$5:$S$25,13,FALSE())*($C$31+$D$31+$E$31*(VLOOKUP(Q7,'Desl. Base Novo Hamburgo'!$C$5:$S$25,17,FALSE())/12))</f>
        <v>0</v>
      </c>
      <c r="W7" s="26" t="n">
        <f aca="false">VLOOKUP(Q7,'Desl. Base Novo Hamburgo'!$C$5:$S$25,15,FALSE())*(2+(VLOOKUP(Q7,'Desl. Base Novo Hamburgo'!$C$5:$S$25,17,FALSE())/12))</f>
        <v>0</v>
      </c>
      <c r="X7" s="26" t="n">
        <f aca="false">VLOOKUP(Q7,'Desl. Base Novo Hamburgo'!$C$5:$Q$25,14,FALSE())</f>
        <v>0</v>
      </c>
      <c r="Y7" s="26" t="n">
        <f aca="false">VLOOKUP(Q7,'Desl. Base Novo Hamburgo'!$C$5:Q$25,13,FALSE())*'Desl. Base Novo Hamburgo'!$E$30+'Desl. Base Novo Hamburgo'!$E$31*N7/12</f>
        <v>25.256</v>
      </c>
      <c r="Z7" s="26" t="n">
        <f aca="false">(H7/$AC$5)*'Equipe Técnica'!$C$13</f>
        <v>303.684498143413</v>
      </c>
      <c r="AA7" s="26" t="n">
        <f aca="false">(I7/$AC$5)*'Equipe Técnica'!$C$13</f>
        <v>364.421397772096</v>
      </c>
      <c r="AB7" s="26" t="n">
        <f aca="false">(L7/$AC$5)*'Equipe Técnica'!$C$13</f>
        <v>637.737446101167</v>
      </c>
      <c r="AC7" s="26" t="n">
        <f aca="false">(M7/$AC$5)*'Equipe Técnica'!$C$13</f>
        <v>637.737446101167</v>
      </c>
      <c r="AD7" s="26" t="n">
        <f aca="false">R7+(($V7+$W7+$X7+$Y7)*12/19)+$Z7</f>
        <v>417.55422803815</v>
      </c>
      <c r="AE7" s="26" t="n">
        <f aca="false">S7+(($V7+$W7+$X7+$Y7)*12/19)+$AA7</f>
        <v>497.874842066832</v>
      </c>
      <c r="AF7" s="26" t="n">
        <f aca="false">T7+(($V7+$W7+$X7+$Y7)*12/19)+$AB7</f>
        <v>859.317605195904</v>
      </c>
      <c r="AG7" s="26" t="n">
        <f aca="false">U7+(($V7+$W7+$X7+$Y7)*12/19)+$AC7</f>
        <v>859.317605195904</v>
      </c>
      <c r="AH7" s="136"/>
      <c r="AI7" s="24" t="str">
        <f aca="false">B7</f>
        <v>GEX NOVO HAMBURGO</v>
      </c>
      <c r="AJ7" s="70" t="n">
        <f aca="false">VLOOKUP(AI7,Unidades!D$5:H$35,5,)</f>
        <v>0.2707</v>
      </c>
      <c r="AK7" s="48" t="n">
        <f aca="false">AD7*(1+$AJ7)</f>
        <v>530.586157568077</v>
      </c>
      <c r="AL7" s="48" t="n">
        <f aca="false">AE7*(1+$AJ7)</f>
        <v>632.649561814324</v>
      </c>
      <c r="AM7" s="48" t="n">
        <f aca="false">AF7*(1+$AJ7)</f>
        <v>1091.93488092244</v>
      </c>
      <c r="AN7" s="48" t="n">
        <f aca="false">AG7*(1+$AJ7)</f>
        <v>1091.93488092244</v>
      </c>
      <c r="AO7" s="48" t="n">
        <f aca="false">((AK7*12)+(AL7*4)+(AM7*2)+AN7)/12</f>
        <v>1014.45306507013</v>
      </c>
      <c r="AP7" s="48" t="n">
        <f aca="false">AO7*$AP$6</f>
        <v>2674.46717154852</v>
      </c>
      <c r="AQ7" s="48" t="n">
        <f aca="false">AO7+AP7</f>
        <v>3688.92023661864</v>
      </c>
      <c r="AR7" s="71"/>
      <c r="AS7" s="72" t="s">
        <v>82</v>
      </c>
      <c r="AT7" s="48" t="n">
        <f aca="false">AK28</f>
        <v>11869.545550191</v>
      </c>
      <c r="AU7" s="48" t="n">
        <f aca="false">AL28</f>
        <v>13717.2550114143</v>
      </c>
      <c r="AV7" s="48" t="n">
        <f aca="false">AM28</f>
        <v>14840.3711293236</v>
      </c>
      <c r="AW7" s="48" t="n">
        <f aca="false">AN28</f>
        <v>32870.6296237427</v>
      </c>
    </row>
    <row r="8" customFormat="false" ht="15" hidden="false" customHeight="true" outlineLevel="0" collapsed="false">
      <c r="B8" s="24" t="s">
        <v>131</v>
      </c>
      <c r="C8" s="66" t="n">
        <f aca="false">VLOOKUP($B8,Unidades!$D$5:$N$35,6,FALSE())</f>
        <v>726.75</v>
      </c>
      <c r="D8" s="66" t="n">
        <f aca="false">VLOOKUP($B8,Unidades!$D$5:$N$35,7,FALSE())</f>
        <v>644.1</v>
      </c>
      <c r="E8" s="66" t="n">
        <f aca="false">VLOOKUP($B8,Unidades!$D$5:$N$35,8,FALSE())</f>
        <v>82.65</v>
      </c>
      <c r="F8" s="66" t="n">
        <f aca="false">VLOOKUP($B8,Unidades!$D$5:$N$35,9,FALSE())</f>
        <v>0</v>
      </c>
      <c r="G8" s="66" t="n">
        <f aca="false">D8+$E$6*E8+$F$6*F8</f>
        <v>673.0275</v>
      </c>
      <c r="H8" s="67" t="n">
        <f aca="false">IF(G8&lt;750,1.5,IF(G8&lt;2000,2,IF(G8&lt;4000,3,12)))</f>
        <v>1.5</v>
      </c>
      <c r="I8" s="67" t="n">
        <f aca="false">$I$6*H8</f>
        <v>1.8</v>
      </c>
      <c r="J8" s="67" t="str">
        <f aca="false">VLOOKUP($B8,Unidades!$D$5:$N$35,10,FALSE())</f>
        <v>NÃO</v>
      </c>
      <c r="K8" s="67" t="str">
        <f aca="false">VLOOKUP($B8,Unidades!$D$5:$N$35,11,FALSE())</f>
        <v>NÃO</v>
      </c>
      <c r="L8" s="67" t="n">
        <f aca="false">$L$6*H8+(IF(J8="SIM",$J$6,0))</f>
        <v>1.65</v>
      </c>
      <c r="M8" s="67" t="n">
        <f aca="false">$M$6*H8+(IF(J8="SIM",$J$6,0))+(IF(K8="SIM",$K$6,0))</f>
        <v>1.65</v>
      </c>
      <c r="N8" s="67" t="n">
        <f aca="false">H8*12+I8*4+L8*2+M8</f>
        <v>30.15</v>
      </c>
      <c r="O8" s="68" t="n">
        <f aca="false">IF(K8="não", N8*(C$31+D$31),N8*(C$31+D$31)+(M8*+E$31))</f>
        <v>1476.1224729</v>
      </c>
      <c r="P8" s="69"/>
      <c r="Q8" s="24" t="str">
        <f aca="false">B8</f>
        <v>APS NOVO HAMBURGO</v>
      </c>
      <c r="R8" s="26" t="n">
        <f aca="false">H8*($C$31+$D$31)</f>
        <v>73.438929</v>
      </c>
      <c r="S8" s="26" t="n">
        <f aca="false">I8*($C$31+$D$31)</f>
        <v>88.1267148</v>
      </c>
      <c r="T8" s="26" t="n">
        <f aca="false">L8*($C$31+$D$31)</f>
        <v>80.7828219</v>
      </c>
      <c r="U8" s="26" t="n">
        <f aca="false">IF(K8="não",M8*($C$31+$D$31),M8*(C$31+D$31+E$31))</f>
        <v>80.7828219</v>
      </c>
      <c r="V8" s="26" t="n">
        <f aca="false">VLOOKUP(Q8,'Desl. Base Novo Hamburgo'!$C$5:$S$25,13,FALSE())*($C$31+$D$31+$E$31*(VLOOKUP(Q8,'Desl. Base Novo Hamburgo'!$C$5:$S$25,17,FALSE())/12))</f>
        <v>9.7918572</v>
      </c>
      <c r="W8" s="26" t="n">
        <f aca="false">VLOOKUP(Q8,'Desl. Base Novo Hamburgo'!$C$5:$S$25,15,FALSE())*(2+(VLOOKUP(Q8,'Desl. Base Novo Hamburgo'!$C$5:$S$25,17,FALSE())/12))</f>
        <v>0</v>
      </c>
      <c r="X8" s="26" t="n">
        <f aca="false">VLOOKUP(Q8,'Desl. Base Novo Hamburgo'!$C$5:$Q$25,14,FALSE())</f>
        <v>0</v>
      </c>
      <c r="Y8" s="26" t="n">
        <f aca="false">VLOOKUP(Q8,'Desl. Base Novo Hamburgo'!$C$5:Q$25,13,FALSE())*'Desl. Base Novo Hamburgo'!$E$30+'Desl. Base Novo Hamburgo'!$E$31*N8/12</f>
        <v>26.98</v>
      </c>
      <c r="Z8" s="26" t="n">
        <f aca="false">(H8/$AC$5)*'Equipe Técnica'!$C$13</f>
        <v>227.76337360756</v>
      </c>
      <c r="AA8" s="26" t="n">
        <f aca="false">(I8/$AC$5)*'Equipe Técnica'!$C$13</f>
        <v>273.316048329072</v>
      </c>
      <c r="AB8" s="26" t="n">
        <f aca="false">(L8/$AC$5)*'Equipe Técnica'!$C$13</f>
        <v>250.539710968316</v>
      </c>
      <c r="AC8" s="26" t="n">
        <f aca="false">(M8/$AC$5)*'Equipe Técnica'!$C$13</f>
        <v>250.539710968316</v>
      </c>
      <c r="AD8" s="26" t="n">
        <f aca="false">R8+(($V8+$W8+$X8+$Y8)*12/19)+$Z8</f>
        <v>324.426633470718</v>
      </c>
      <c r="AE8" s="26" t="n">
        <f aca="false">S8+(($V8+$W8+$X8+$Y8)*12/19)+$AA8</f>
        <v>384.66709399223</v>
      </c>
      <c r="AF8" s="26" t="n">
        <f aca="false">T8+(($V8+$W8+$X8+$Y8)*12/19)+$AB8</f>
        <v>354.546863731474</v>
      </c>
      <c r="AG8" s="26" t="n">
        <f aca="false">U8+(($V8+$W8+$X8+$Y8)*12/19)+$AC8</f>
        <v>354.546863731474</v>
      </c>
      <c r="AH8" s="136"/>
      <c r="AI8" s="24" t="str">
        <f aca="false">B8</f>
        <v>APS NOVO HAMBURGO</v>
      </c>
      <c r="AJ8" s="70" t="n">
        <f aca="false">VLOOKUP(AI8,Unidades!D$5:H$35,5,)</f>
        <v>0.2707</v>
      </c>
      <c r="AK8" s="48" t="n">
        <f aca="false">AD8*(1+$AJ8)</f>
        <v>412.248923151241</v>
      </c>
      <c r="AL8" s="48" t="n">
        <f aca="false">AE8*(1+$AJ8)</f>
        <v>488.796476335926</v>
      </c>
      <c r="AM8" s="48" t="n">
        <f aca="false">AF8*(1+$AJ8)</f>
        <v>450.522699743584</v>
      </c>
      <c r="AN8" s="48" t="n">
        <f aca="false">AG8*(1+$AJ8)</f>
        <v>450.522699743584</v>
      </c>
      <c r="AO8" s="48" t="n">
        <f aca="false">((AK8*12)+(AL8*4)+(AM8*2)+AN8)/12</f>
        <v>687.811756865779</v>
      </c>
      <c r="AP8" s="48" t="n">
        <f aca="false">AO8*$AP$6</f>
        <v>1813.32190446433</v>
      </c>
      <c r="AQ8" s="48" t="n">
        <f aca="false">AO8+AP8</f>
        <v>2501.13366133011</v>
      </c>
      <c r="AR8" s="71"/>
      <c r="AS8" s="72" t="s">
        <v>84</v>
      </c>
      <c r="AT8" s="48" t="n">
        <f aca="false">AT7*12</f>
        <v>142434.546602292</v>
      </c>
      <c r="AU8" s="48" t="n">
        <f aca="false">AU7*4</f>
        <v>54869.020045657</v>
      </c>
      <c r="AV8" s="48" t="n">
        <f aca="false">AV7*2</f>
        <v>29680.7422586472</v>
      </c>
      <c r="AW8" s="48" t="n">
        <f aca="false">AW7</f>
        <v>32870.6296237427</v>
      </c>
    </row>
    <row r="9" customFormat="false" ht="15" hidden="false" customHeight="true" outlineLevel="0" collapsed="false">
      <c r="B9" s="24" t="s">
        <v>132</v>
      </c>
      <c r="C9" s="66" t="n">
        <f aca="false">VLOOKUP($B9,Unidades!$D$5:$N$35,6,FALSE())</f>
        <v>827.93</v>
      </c>
      <c r="D9" s="66" t="n">
        <f aca="false">VLOOKUP($B9,Unidades!$D$5:$N$35,7,FALSE())</f>
        <v>237.41</v>
      </c>
      <c r="E9" s="66" t="n">
        <f aca="false">VLOOKUP($B9,Unidades!$D$5:$N$35,8,FALSE())</f>
        <v>561.57</v>
      </c>
      <c r="F9" s="66" t="n">
        <f aca="false">VLOOKUP($B9,Unidades!$D$5:$N$35,9,FALSE())</f>
        <v>28.95</v>
      </c>
      <c r="G9" s="66" t="n">
        <f aca="false">D9+$E$6*E9+$F$6*F9</f>
        <v>436.8545</v>
      </c>
      <c r="H9" s="67" t="n">
        <f aca="false">IF(G9&lt;750,1.5,IF(G9&lt;2000,2,IF(G9&lt;4000,3,12)))</f>
        <v>1.5</v>
      </c>
      <c r="I9" s="67" t="n">
        <f aca="false">$I$6*H9</f>
        <v>1.8</v>
      </c>
      <c r="J9" s="67" t="str">
        <f aca="false">VLOOKUP($B9,Unidades!$D$5:$N$35,10,FALSE())</f>
        <v>NÃO</v>
      </c>
      <c r="K9" s="67" t="str">
        <f aca="false">VLOOKUP($B9,Unidades!$D$5:$N$35,11,FALSE())</f>
        <v>SIM</v>
      </c>
      <c r="L9" s="67" t="n">
        <f aca="false">$L$6*H9+(IF(J9="SIM",$J$6,0))</f>
        <v>1.65</v>
      </c>
      <c r="M9" s="67" t="n">
        <f aca="false">$M$6*H9+(IF(J9="SIM",$J$6,0))+(IF(K9="SIM",$K$6,0))</f>
        <v>5.65</v>
      </c>
      <c r="N9" s="67" t="n">
        <f aca="false">H9*12+I9*4+L9*2+M9</f>
        <v>34.15</v>
      </c>
      <c r="O9" s="68" t="n">
        <f aca="false">IF(K9="não", N9*(C$31+D$31),N9*(C$31+D$31)+(M9*+E$31))</f>
        <v>1858.1836169</v>
      </c>
      <c r="P9" s="69"/>
      <c r="Q9" s="24" t="str">
        <f aca="false">B9</f>
        <v>APS CAMPO BOM</v>
      </c>
      <c r="R9" s="26" t="n">
        <f aca="false">H9*($C$31+$D$31)</f>
        <v>73.438929</v>
      </c>
      <c r="S9" s="26" t="n">
        <f aca="false">I9*($C$31+$D$31)</f>
        <v>88.1267148</v>
      </c>
      <c r="T9" s="26" t="n">
        <f aca="false">L9*($C$31+$D$31)</f>
        <v>80.7828219</v>
      </c>
      <c r="U9" s="26" t="n">
        <f aca="false">IF(K9="não",M9*($C$31+$D$31),M9*(C$31+D$31+E$31))</f>
        <v>462.8439659</v>
      </c>
      <c r="V9" s="26" t="n">
        <f aca="false">VLOOKUP(Q9,'Desl. Base Novo Hamburgo'!$C$5:$S$25,13,FALSE())*($C$31+$D$31+$E$31*(VLOOKUP(Q9,'Desl. Base Novo Hamburgo'!$C$5:$S$25,17,FALSE())/12))</f>
        <v>13.7882540444444</v>
      </c>
      <c r="W9" s="26" t="n">
        <f aca="false">VLOOKUP(Q9,'Desl. Base Novo Hamburgo'!$C$5:$S$25,15,FALSE())*(2+(VLOOKUP(Q9,'Desl. Base Novo Hamburgo'!$C$5:$S$25,17,FALSE())/12))</f>
        <v>0</v>
      </c>
      <c r="X9" s="26" t="n">
        <f aca="false">VLOOKUP(Q9,'Desl. Base Novo Hamburgo'!$C$5:$Q$25,14,FALSE())</f>
        <v>0</v>
      </c>
      <c r="Y9" s="26" t="n">
        <f aca="false">VLOOKUP(Q9,'Desl. Base Novo Hamburgo'!$C$5:Q$25,13,FALSE())*'Desl. Base Novo Hamburgo'!$E$30+'Desl. Base Novo Hamburgo'!$E$31*N9/12</f>
        <v>32.666</v>
      </c>
      <c r="Z9" s="26" t="n">
        <f aca="false">(H9/$AC$5)*'Equipe Técnica'!$C$13</f>
        <v>227.76337360756</v>
      </c>
      <c r="AA9" s="26" t="n">
        <f aca="false">(I9/$AC$5)*'Equipe Técnica'!$C$13</f>
        <v>273.316048329072</v>
      </c>
      <c r="AB9" s="26" t="n">
        <f aca="false">(L9/$AC$5)*'Equipe Técnica'!$C$13</f>
        <v>250.539710968316</v>
      </c>
      <c r="AC9" s="26" t="n">
        <f aca="false">(M9/$AC$5)*'Equipe Técnica'!$C$13</f>
        <v>857.908707255142</v>
      </c>
      <c r="AD9" s="26" t="n">
        <f aca="false">R9+(($V9+$W9+$X9+$Y9)*12/19)+$Z9</f>
        <v>330.541831477735</v>
      </c>
      <c r="AE9" s="26" t="n">
        <f aca="false">S9+(($V9+$W9+$X9+$Y9)*12/19)+$AA9</f>
        <v>390.782291999247</v>
      </c>
      <c r="AF9" s="26" t="n">
        <f aca="false">T9+(($V9+$W9+$X9+$Y9)*12/19)+$AB9</f>
        <v>360.662061738491</v>
      </c>
      <c r="AG9" s="26" t="n">
        <f aca="false">U9+(($V9+$W9+$X9+$Y9)*12/19)+$AC9</f>
        <v>1350.09220202532</v>
      </c>
      <c r="AH9" s="136"/>
      <c r="AI9" s="24" t="str">
        <f aca="false">B9</f>
        <v>APS CAMPO BOM</v>
      </c>
      <c r="AJ9" s="70" t="n">
        <f aca="false">VLOOKUP(AI9,Unidades!D$5:H$35,5,)</f>
        <v>0.2707</v>
      </c>
      <c r="AK9" s="48" t="n">
        <f aca="false">AD9*(1+$AJ9)</f>
        <v>420.019505258758</v>
      </c>
      <c r="AL9" s="48" t="n">
        <f aca="false">AE9*(1+$AJ9)</f>
        <v>496.567058443443</v>
      </c>
      <c r="AM9" s="48" t="n">
        <f aca="false">AF9*(1+$AJ9)</f>
        <v>458.293281851101</v>
      </c>
      <c r="AN9" s="48" t="n">
        <f aca="false">AG9*(1+$AJ9)</f>
        <v>1715.56216111357</v>
      </c>
      <c r="AO9" s="48" t="n">
        <f aca="false">((AK9*12)+(AL9*4)+(AM9*2)+AN9)/12</f>
        <v>804.88758514122</v>
      </c>
      <c r="AP9" s="48" t="n">
        <f aca="false">AO9*$AP$6</f>
        <v>2121.97636082685</v>
      </c>
      <c r="AQ9" s="48" t="n">
        <f aca="false">AO9+AP9</f>
        <v>2926.86394596807</v>
      </c>
      <c r="AR9" s="71"/>
      <c r="AS9" s="71"/>
      <c r="AT9" s="73"/>
      <c r="AU9" s="73"/>
      <c r="AV9" s="73"/>
      <c r="AW9" s="73"/>
    </row>
    <row r="10" customFormat="false" ht="15" hidden="false" customHeight="true" outlineLevel="0" collapsed="false">
      <c r="B10" s="24" t="s">
        <v>133</v>
      </c>
      <c r="C10" s="66" t="n">
        <f aca="false">VLOOKUP($B10,Unidades!$D$5:$N$35,6,FALSE())</f>
        <v>3420.53</v>
      </c>
      <c r="D10" s="66" t="n">
        <f aca="false">VLOOKUP($B10,Unidades!$D$5:$N$35,7,FALSE())</f>
        <v>0</v>
      </c>
      <c r="E10" s="66" t="n">
        <f aca="false">VLOOKUP($B10,Unidades!$D$5:$N$35,8,FALSE())</f>
        <v>1660.46</v>
      </c>
      <c r="F10" s="66" t="n">
        <f aca="false">VLOOKUP($B10,Unidades!$D$5:$N$35,9,FALSE())</f>
        <v>1760.07</v>
      </c>
      <c r="G10" s="66" t="n">
        <f aca="false">D10+$E$6*E10+$F$6*F10</f>
        <v>757.168</v>
      </c>
      <c r="H10" s="67" t="n">
        <f aca="false">IF(G10&lt;750,1.5,IF(G10&lt;2000,2,IF(G10&lt;4000,3,12)))</f>
        <v>2</v>
      </c>
      <c r="I10" s="67" t="n">
        <f aca="false">$I$6*H10</f>
        <v>2.4</v>
      </c>
      <c r="J10" s="67" t="str">
        <f aca="false">VLOOKUP($B10,Unidades!$D$5:$N$35,10,FALSE())</f>
        <v>NÃO</v>
      </c>
      <c r="K10" s="67" t="str">
        <f aca="false">VLOOKUP($B10,Unidades!$D$5:$N$35,11,FALSE())</f>
        <v>SIM</v>
      </c>
      <c r="L10" s="67" t="n">
        <f aca="false">$L$6*H10+(IF(J10="SIM",$J$6,0))</f>
        <v>2.2</v>
      </c>
      <c r="M10" s="67" t="n">
        <f aca="false">$M$6*H10+(IF(J10="SIM",$J$6,0))+(IF(K10="SIM",$K$6,0))</f>
        <v>6.2</v>
      </c>
      <c r="N10" s="67" t="n">
        <f aca="false">H10*12+I10*4+L10*2+M10</f>
        <v>44.2</v>
      </c>
      <c r="O10" s="68" t="n">
        <f aca="false">IF(K10="não", N10*(C$31+D$31),N10*(C$31+D$31)+(M10*+E$31))</f>
        <v>2368.3524412</v>
      </c>
      <c r="P10" s="69"/>
      <c r="Q10" s="24" t="str">
        <f aca="false">B10</f>
        <v>DEPÓSITO NOVO HAMBURGO</v>
      </c>
      <c r="R10" s="26" t="n">
        <f aca="false">H10*($C$31+$D$31)</f>
        <v>97.918572</v>
      </c>
      <c r="S10" s="26" t="n">
        <f aca="false">I10*($C$31+$D$31)</f>
        <v>117.5022864</v>
      </c>
      <c r="T10" s="26" t="n">
        <f aca="false">L10*($C$31+$D$31)</f>
        <v>107.7104292</v>
      </c>
      <c r="U10" s="26" t="n">
        <f aca="false">IF(K10="não",M10*($C$31+$D$31),M10*(C$31+D$31+E$31))</f>
        <v>507.8995732</v>
      </c>
      <c r="V10" s="26" t="n">
        <f aca="false">VLOOKUP(Q10,'Desl. Base Novo Hamburgo'!$C$5:$S$25,13,FALSE())*($C$31+$D$31+$E$31*(VLOOKUP(Q10,'Desl. Base Novo Hamburgo'!$C$5:$S$25,17,FALSE())/12))</f>
        <v>13.7882540444444</v>
      </c>
      <c r="W10" s="26" t="n">
        <f aca="false">VLOOKUP(Q10,'Desl. Base Novo Hamburgo'!$C$5:$S$25,15,FALSE())*(2+(VLOOKUP(Q10,'Desl. Base Novo Hamburgo'!$C$5:$S$25,17,FALSE())/12))</f>
        <v>0</v>
      </c>
      <c r="X10" s="26" t="n">
        <f aca="false">VLOOKUP(Q10,'Desl. Base Novo Hamburgo'!$C$5:$Q$25,14,FALSE())</f>
        <v>0</v>
      </c>
      <c r="Y10" s="26" t="n">
        <f aca="false">VLOOKUP(Q10,'Desl. Base Novo Hamburgo'!$C$5:Q$25,13,FALSE())*'Desl. Base Novo Hamburgo'!$E$30+'Desl. Base Novo Hamburgo'!$E$31*N10/12</f>
        <v>38.16</v>
      </c>
      <c r="Z10" s="26" t="n">
        <f aca="false">(H10/$AC$5)*'Equipe Técnica'!$C$13</f>
        <v>303.684498143413</v>
      </c>
      <c r="AA10" s="26" t="n">
        <f aca="false">(I10/$AC$5)*'Equipe Técnica'!$C$13</f>
        <v>364.421397772096</v>
      </c>
      <c r="AB10" s="26" t="n">
        <f aca="false">(L10/$AC$5)*'Equipe Técnica'!$C$13</f>
        <v>334.052947957754</v>
      </c>
      <c r="AC10" s="26" t="n">
        <f aca="false">(M10/$AC$5)*'Equipe Técnica'!$C$13</f>
        <v>941.42194424458</v>
      </c>
      <c r="AD10" s="26" t="n">
        <f aca="false">R10+(($V10+$W10+$X10+$Y10)*12/19)+$Z10</f>
        <v>434.412493750431</v>
      </c>
      <c r="AE10" s="26" t="n">
        <f aca="false">S10+(($V10+$W10+$X10+$Y10)*12/19)+$AA10</f>
        <v>514.733107779113</v>
      </c>
      <c r="AF10" s="26" t="n">
        <f aca="false">T10+(($V10+$W10+$X10+$Y10)*12/19)+$AB10</f>
        <v>474.572800764772</v>
      </c>
      <c r="AG10" s="26" t="n">
        <f aca="false">U10+(($V10+$W10+$X10+$Y10)*12/19)+$AC10</f>
        <v>1482.1309410516</v>
      </c>
      <c r="AH10" s="136"/>
      <c r="AI10" s="24" t="str">
        <f aca="false">B10</f>
        <v>DEPÓSITO NOVO HAMBURGO</v>
      </c>
      <c r="AJ10" s="70" t="n">
        <f aca="false">VLOOKUP(AI10,Unidades!D$5:H$35,5,)</f>
        <v>0.2707</v>
      </c>
      <c r="AK10" s="48" t="n">
        <f aca="false">AD10*(1+$AJ10)</f>
        <v>552.007955808672</v>
      </c>
      <c r="AL10" s="48" t="n">
        <f aca="false">AE10*(1+$AJ10)</f>
        <v>654.071360054919</v>
      </c>
      <c r="AM10" s="48" t="n">
        <f aca="false">AF10*(1+$AJ10)</f>
        <v>603.039657931796</v>
      </c>
      <c r="AN10" s="48" t="n">
        <f aca="false">AG10*(1+$AJ10)</f>
        <v>1883.34378679427</v>
      </c>
      <c r="AO10" s="48" t="n">
        <f aca="false">((AK10*12)+(AL10*4)+(AM10*2)+AN10)/12</f>
        <v>1027.48366771513</v>
      </c>
      <c r="AP10" s="48" t="n">
        <f aca="false">AO10*$AP$6</f>
        <v>2708.82057852171</v>
      </c>
      <c r="AQ10" s="48" t="n">
        <f aca="false">AO10+AP10</f>
        <v>3736.30424623685</v>
      </c>
      <c r="AR10" s="71"/>
      <c r="AS10" s="74" t="s">
        <v>72</v>
      </c>
      <c r="AT10" s="48" t="n">
        <f aca="false">(SUM(AT8:AW8))/12</f>
        <v>21654.5782108616</v>
      </c>
      <c r="AU10" s="48"/>
      <c r="AV10" s="73"/>
      <c r="AW10" s="73"/>
    </row>
    <row r="11" customFormat="false" ht="15" hidden="false" customHeight="true" outlineLevel="0" collapsed="false">
      <c r="B11" s="24" t="s">
        <v>134</v>
      </c>
      <c r="C11" s="66" t="n">
        <f aca="false">VLOOKUP($B11,Unidades!$D$5:$N$35,6,FALSE())</f>
        <v>334.4</v>
      </c>
      <c r="D11" s="66" t="n">
        <f aca="false">VLOOKUP($B11,Unidades!$D$5:$N$35,7,FALSE())</f>
        <v>0</v>
      </c>
      <c r="E11" s="66" t="n">
        <f aca="false">VLOOKUP($B11,Unidades!$D$5:$N$35,8,FALSE())</f>
        <v>0</v>
      </c>
      <c r="F11" s="66" t="n">
        <f aca="false">VLOOKUP($B11,Unidades!$D$5:$N$35,9,FALSE())</f>
        <v>334.4</v>
      </c>
      <c r="G11" s="66" t="n">
        <f aca="false">D11+$E$6*E11+$F$6*F11</f>
        <v>33.44</v>
      </c>
      <c r="H11" s="67" t="n">
        <f aca="false">IF(G11&lt;750,1.5,IF(G11&lt;2000,2,IF(G11&lt;4000,3,12)))</f>
        <v>1.5</v>
      </c>
      <c r="I11" s="67" t="n">
        <f aca="false">$I$6*H11</f>
        <v>1.8</v>
      </c>
      <c r="J11" s="67" t="str">
        <f aca="false">VLOOKUP($B11,Unidades!$D$5:$N$35,10,FALSE())</f>
        <v>NÃO</v>
      </c>
      <c r="K11" s="67" t="str">
        <f aca="false">VLOOKUP($B11,Unidades!$D$5:$N$35,11,FALSE())</f>
        <v>NÃO</v>
      </c>
      <c r="L11" s="67" t="n">
        <f aca="false">$L$6*H11+(IF(J11="SIM",$J$6,0))</f>
        <v>1.65</v>
      </c>
      <c r="M11" s="67" t="n">
        <f aca="false">$M$6*H11+(IF(J11="SIM",$J$6,0))+(IF(K11="SIM",$K$6,0))</f>
        <v>1.65</v>
      </c>
      <c r="N11" s="67" t="n">
        <f aca="false">H11*12+I11*4+L11*2+M11</f>
        <v>30.15</v>
      </c>
      <c r="O11" s="68" t="n">
        <f aca="false">IF(K11="não", N11*(C$31+D$31),N11*(C$31+D$31)+(M11*+E$31))</f>
        <v>1476.1224729</v>
      </c>
      <c r="P11" s="69"/>
      <c r="Q11" s="24" t="str">
        <f aca="false">B11</f>
        <v>APS TRÊS COROAS</v>
      </c>
      <c r="R11" s="26" t="n">
        <f aca="false">H11*($C$31+$D$31)</f>
        <v>73.438929</v>
      </c>
      <c r="S11" s="26" t="n">
        <f aca="false">I11*($C$31+$D$31)</f>
        <v>88.1267148</v>
      </c>
      <c r="T11" s="26" t="n">
        <f aca="false">L11*($C$31+$D$31)</f>
        <v>80.7828219</v>
      </c>
      <c r="U11" s="26" t="n">
        <f aca="false">IF(K11="não",M11*($C$31+$D$31),M11*(C$31+D$31+E$31))</f>
        <v>80.7828219</v>
      </c>
      <c r="V11" s="26" t="n">
        <f aca="false">VLOOKUP(Q11,'Desl. Base Novo Hamburgo'!$C$5:$S$25,13,FALSE())*($C$31+$D$31+$E$31*(VLOOKUP(Q11,'Desl. Base Novo Hamburgo'!$C$5:$S$25,17,FALSE())/12))</f>
        <v>94.6546196</v>
      </c>
      <c r="W11" s="26" t="n">
        <f aca="false">VLOOKUP(Q11,'Desl. Base Novo Hamburgo'!$C$5:$S$25,15,FALSE())*(2+(VLOOKUP(Q11,'Desl. Base Novo Hamburgo'!$C$5:$S$25,17,FALSE())/12))</f>
        <v>0</v>
      </c>
      <c r="X11" s="26" t="n">
        <f aca="false">VLOOKUP(Q11,'Desl. Base Novo Hamburgo'!$C$5:$Q$25,14,FALSE())</f>
        <v>6.5</v>
      </c>
      <c r="Y11" s="26" t="n">
        <f aca="false">VLOOKUP(Q11,'Desl. Base Novo Hamburgo'!$C$5:Q$25,13,FALSE())*'Desl. Base Novo Hamburgo'!$E$30+'Desl. Base Novo Hamburgo'!$E$31*N11/12</f>
        <v>117.962666666667</v>
      </c>
      <c r="Z11" s="26" t="n">
        <f aca="false">(H11/$AC$5)*'Equipe Técnica'!$C$13</f>
        <v>227.76337360756</v>
      </c>
      <c r="AA11" s="26" t="n">
        <f aca="false">(I11/$AC$5)*'Equipe Técnica'!$C$13</f>
        <v>273.316048329072</v>
      </c>
      <c r="AB11" s="26" t="n">
        <f aca="false">(L11/$AC$5)*'Equipe Técnica'!$C$13</f>
        <v>250.539710968316</v>
      </c>
      <c r="AC11" s="26" t="n">
        <f aca="false">(M11/$AC$5)*'Equipe Técnica'!$C$13</f>
        <v>250.539710968316</v>
      </c>
      <c r="AD11" s="26" t="n">
        <f aca="false">R11+(($V11+$W11+$X11+$Y11)*12/19)+$Z11</f>
        <v>439.592167618086</v>
      </c>
      <c r="AE11" s="26" t="n">
        <f aca="false">S11+(($V11+$W11+$X11+$Y11)*12/19)+$AA11</f>
        <v>499.832628139598</v>
      </c>
      <c r="AF11" s="26" t="n">
        <f aca="false">T11+(($V11+$W11+$X11+$Y11)*12/19)+$AB11</f>
        <v>469.712397878842</v>
      </c>
      <c r="AG11" s="26" t="n">
        <f aca="false">U11+(($V11+$W11+$X11+$Y11)*12/19)+$AC11</f>
        <v>469.712397878842</v>
      </c>
      <c r="AH11" s="136"/>
      <c r="AI11" s="24" t="str">
        <f aca="false">B11</f>
        <v>APS TRÊS COROAS</v>
      </c>
      <c r="AJ11" s="70" t="n">
        <f aca="false">VLOOKUP(AI11,Unidades!D$5:H$35,5,)</f>
        <v>0.2707</v>
      </c>
      <c r="AK11" s="48" t="n">
        <f aca="false">AD11*(1+$AJ11)</f>
        <v>558.589767392302</v>
      </c>
      <c r="AL11" s="48" t="n">
        <f aca="false">AE11*(1+$AJ11)</f>
        <v>635.137320576987</v>
      </c>
      <c r="AM11" s="48" t="n">
        <f aca="false">AF11*(1+$AJ11)</f>
        <v>596.863543984645</v>
      </c>
      <c r="AN11" s="48" t="n">
        <f aca="false">AG11*(1+$AJ11)</f>
        <v>596.863543984645</v>
      </c>
      <c r="AO11" s="48" t="n">
        <f aca="false">((AK11*12)+(AL11*4)+(AM11*2)+AN11)/12</f>
        <v>919.518093580792</v>
      </c>
      <c r="AP11" s="48" t="n">
        <f aca="false">AO11*$AP$6</f>
        <v>2424.18406489482</v>
      </c>
      <c r="AQ11" s="48" t="n">
        <f aca="false">AO11+AP11</f>
        <v>3343.70215847561</v>
      </c>
      <c r="AR11" s="71"/>
      <c r="AS11" s="74" t="s">
        <v>88</v>
      </c>
      <c r="AT11" s="48" t="n">
        <f aca="false">AT10*12</f>
        <v>259854.938530339</v>
      </c>
      <c r="AU11" s="48"/>
      <c r="AV11" s="73"/>
      <c r="AW11" s="73"/>
    </row>
    <row r="12" customFormat="false" ht="15" hidden="false" customHeight="true" outlineLevel="0" collapsed="false">
      <c r="B12" s="24" t="s">
        <v>135</v>
      </c>
      <c r="C12" s="66" t="n">
        <f aca="false">VLOOKUP($B12,Unidades!$D$5:$N$35,6,FALSE())</f>
        <v>914.18</v>
      </c>
      <c r="D12" s="66" t="n">
        <f aca="false">VLOOKUP($B12,Unidades!$D$5:$N$35,7,FALSE())</f>
        <v>371.04</v>
      </c>
      <c r="E12" s="66" t="n">
        <f aca="false">VLOOKUP($B12,Unidades!$D$5:$N$35,8,FALSE())</f>
        <v>112.85</v>
      </c>
      <c r="F12" s="66" t="n">
        <f aca="false">VLOOKUP($B12,Unidades!$D$5:$N$35,9,FALSE())</f>
        <v>430.29</v>
      </c>
      <c r="G12" s="66" t="n">
        <f aca="false">D12+$E$6*E12+$F$6*F12</f>
        <v>453.5665</v>
      </c>
      <c r="H12" s="67" t="n">
        <f aca="false">IF(G12&lt;750,1.5,IF(G12&lt;2000,2,IF(G12&lt;4000,3,12)))</f>
        <v>1.5</v>
      </c>
      <c r="I12" s="67" t="n">
        <f aca="false">$I$6*H12</f>
        <v>1.8</v>
      </c>
      <c r="J12" s="67" t="str">
        <f aca="false">VLOOKUP($B12,Unidades!$D$5:$N$35,10,FALSE())</f>
        <v>NÃO</v>
      </c>
      <c r="K12" s="67" t="str">
        <f aca="false">VLOOKUP($B12,Unidades!$D$5:$N$35,11,FALSE())</f>
        <v>SIM</v>
      </c>
      <c r="L12" s="67" t="n">
        <f aca="false">$L$6*H12+(IF(J12="SIM",$J$6,0))</f>
        <v>1.65</v>
      </c>
      <c r="M12" s="67" t="n">
        <f aca="false">$M$6*H12+(IF(J12="SIM",$J$6,0))+(IF(K12="SIM",$K$6,0))</f>
        <v>5.65</v>
      </c>
      <c r="N12" s="67" t="n">
        <f aca="false">H12*12+I12*4+L12*2+M12</f>
        <v>34.15</v>
      </c>
      <c r="O12" s="68" t="n">
        <f aca="false">IF(K12="não", N12*(C$31+D$31),N12*(C$31+D$31)+(M12*+E$31))</f>
        <v>1858.1836169</v>
      </c>
      <c r="P12" s="69"/>
      <c r="Q12" s="24" t="str">
        <f aca="false">B12</f>
        <v>APS DOIS IRMÃOS</v>
      </c>
      <c r="R12" s="26" t="n">
        <f aca="false">H12*($C$31+$D$31)</f>
        <v>73.438929</v>
      </c>
      <c r="S12" s="26" t="n">
        <f aca="false">I12*($C$31+$D$31)</f>
        <v>88.1267148</v>
      </c>
      <c r="T12" s="26" t="n">
        <f aca="false">L12*($C$31+$D$31)</f>
        <v>80.7828219</v>
      </c>
      <c r="U12" s="26" t="n">
        <f aca="false">IF(K12="não",M12*($C$31+$D$31),M12*(C$31+D$31+E$31))</f>
        <v>462.8439659</v>
      </c>
      <c r="V12" s="26" t="n">
        <f aca="false">VLOOKUP(Q12,'Desl. Base Novo Hamburgo'!$C$5:$S$25,13,FALSE())*($C$31+$D$31+$E$31*(VLOOKUP(Q12,'Desl. Base Novo Hamburgo'!$C$5:$S$25,17,FALSE())/12))</f>
        <v>24.5603275166667</v>
      </c>
      <c r="W12" s="26" t="n">
        <f aca="false">VLOOKUP(Q12,'Desl. Base Novo Hamburgo'!$C$5:$S$25,15,FALSE())*(2+(VLOOKUP(Q12,'Desl. Base Novo Hamburgo'!$C$5:$S$25,17,FALSE())/12))</f>
        <v>0</v>
      </c>
      <c r="X12" s="26" t="n">
        <f aca="false">VLOOKUP(Q12,'Desl. Base Novo Hamburgo'!$C$5:$Q$25,14,FALSE())</f>
        <v>0</v>
      </c>
      <c r="Y12" s="26" t="n">
        <f aca="false">VLOOKUP(Q12,'Desl. Base Novo Hamburgo'!$C$5:Q$25,13,FALSE())*'Desl. Base Novo Hamburgo'!$E$30+'Desl. Base Novo Hamburgo'!$E$31*N12/12</f>
        <v>43.6014166666667</v>
      </c>
      <c r="Z12" s="26" t="n">
        <f aca="false">(H12/$AC$5)*'Equipe Técnica'!$C$13</f>
        <v>227.76337360756</v>
      </c>
      <c r="AA12" s="26" t="n">
        <f aca="false">(I12/$AC$5)*'Equipe Técnica'!$C$13</f>
        <v>273.316048329072</v>
      </c>
      <c r="AB12" s="26" t="n">
        <f aca="false">(L12/$AC$5)*'Equipe Técnica'!$C$13</f>
        <v>250.539710968316</v>
      </c>
      <c r="AC12" s="26" t="n">
        <f aca="false">(M12/$AC$5)*'Equipe Técnica'!$C$13</f>
        <v>857.908707255142</v>
      </c>
      <c r="AD12" s="26" t="n">
        <f aca="false">R12+(($V12+$W12+$X12+$Y12)*12/19)+$Z12</f>
        <v>344.251825249665</v>
      </c>
      <c r="AE12" s="26" t="n">
        <f aca="false">S12+(($V12+$W12+$X12+$Y12)*12/19)+$AA12</f>
        <v>404.492285771177</v>
      </c>
      <c r="AF12" s="26" t="n">
        <f aca="false">T12+(($V12+$W12+$X12+$Y12)*12/19)+$AB12</f>
        <v>374.372055510421</v>
      </c>
      <c r="AG12" s="26" t="n">
        <f aca="false">U12+(($V12+$W12+$X12+$Y12)*12/19)+$AC12</f>
        <v>1363.80219579725</v>
      </c>
      <c r="AH12" s="136"/>
      <c r="AI12" s="24" t="str">
        <f aca="false">B12</f>
        <v>APS DOIS IRMÃOS</v>
      </c>
      <c r="AJ12" s="70" t="n">
        <f aca="false">VLOOKUP(AI12,Unidades!D$5:H$35,5,)</f>
        <v>0.2707</v>
      </c>
      <c r="AK12" s="48" t="n">
        <f aca="false">AD12*(1+$AJ12)</f>
        <v>437.440794344749</v>
      </c>
      <c r="AL12" s="48" t="n">
        <f aca="false">AE12*(1+$AJ12)</f>
        <v>513.988347529435</v>
      </c>
      <c r="AM12" s="48" t="n">
        <f aca="false">AF12*(1+$AJ12)</f>
        <v>475.714570937092</v>
      </c>
      <c r="AN12" s="48" t="n">
        <f aca="false">AG12*(1+$AJ12)</f>
        <v>1732.98345019956</v>
      </c>
      <c r="AO12" s="48" t="n">
        <f aca="false">((AK12*12)+(AL12*4)+(AM12*2)+AN12)/12</f>
        <v>832.471292860706</v>
      </c>
      <c r="AP12" s="48" t="n">
        <f aca="false">AO12*$AP$6</f>
        <v>2194.69704481459</v>
      </c>
      <c r="AQ12" s="48" t="n">
        <f aca="false">AO12+AP12</f>
        <v>3027.1683376753</v>
      </c>
      <c r="AR12" s="71"/>
      <c r="AS12" s="74" t="s">
        <v>73</v>
      </c>
      <c r="AT12" s="48" t="n">
        <f aca="false">AP28</f>
        <v>57089.3425559078</v>
      </c>
      <c r="AU12" s="48"/>
      <c r="AV12" s="73"/>
      <c r="AW12" s="73"/>
    </row>
    <row r="13" customFormat="false" ht="15" hidden="false" customHeight="true" outlineLevel="0" collapsed="false">
      <c r="B13" s="24" t="s">
        <v>136</v>
      </c>
      <c r="C13" s="66" t="n">
        <f aca="false">VLOOKUP($B13,Unidades!$D$5:$N$35,6,FALSE())</f>
        <v>1988.85</v>
      </c>
      <c r="D13" s="66" t="n">
        <f aca="false">VLOOKUP($B13,Unidades!$D$5:$N$35,7,FALSE())</f>
        <v>501.54</v>
      </c>
      <c r="E13" s="66" t="n">
        <f aca="false">VLOOKUP($B13,Unidades!$D$5:$N$35,8,FALSE())</f>
        <v>706.74</v>
      </c>
      <c r="F13" s="66" t="n">
        <f aca="false">VLOOKUP($B13,Unidades!$D$5:$N$35,9,FALSE())</f>
        <v>780.57</v>
      </c>
      <c r="G13" s="66" t="n">
        <f aca="false">D13+$E$6*E13+$F$6*F13</f>
        <v>826.956</v>
      </c>
      <c r="H13" s="67" t="n">
        <f aca="false">IF(G13&lt;750,1.5,IF(G13&lt;2000,2,IF(G13&lt;4000,3,12)))</f>
        <v>2</v>
      </c>
      <c r="I13" s="67" t="n">
        <f aca="false">$I$6*H13</f>
        <v>2.4</v>
      </c>
      <c r="J13" s="67" t="str">
        <f aca="false">VLOOKUP($B13,Unidades!$D$5:$N$35,10,FALSE())</f>
        <v>NÃO</v>
      </c>
      <c r="K13" s="67" t="str">
        <f aca="false">VLOOKUP($B13,Unidades!$D$5:$N$35,11,FALSE())</f>
        <v>SIM</v>
      </c>
      <c r="L13" s="67" t="n">
        <f aca="false">$L$6*H13+(IF(J13="SIM",$J$6,0))</f>
        <v>2.2</v>
      </c>
      <c r="M13" s="67" t="n">
        <f aca="false">$M$6*H13+(IF(J13="SIM",$J$6,0))+(IF(K13="SIM",$K$6,0))</f>
        <v>6.2</v>
      </c>
      <c r="N13" s="67" t="n">
        <f aca="false">H13*12+I13*4+L13*2+M13</f>
        <v>44.2</v>
      </c>
      <c r="O13" s="68" t="n">
        <f aca="false">IF(K13="não", N13*(C$31+D$31),N13*(C$31+D$31)+(M13*+E$31))</f>
        <v>2368.3524412</v>
      </c>
      <c r="P13" s="69"/>
      <c r="Q13" s="24" t="str">
        <f aca="false">B13</f>
        <v>APS SAPIRANGA</v>
      </c>
      <c r="R13" s="26" t="n">
        <f aca="false">H13*($C$31+$D$31)</f>
        <v>97.918572</v>
      </c>
      <c r="S13" s="26" t="n">
        <f aca="false">I13*($C$31+$D$31)</f>
        <v>117.5022864</v>
      </c>
      <c r="T13" s="26" t="n">
        <f aca="false">L13*($C$31+$D$31)</f>
        <v>107.7104292</v>
      </c>
      <c r="U13" s="26" t="n">
        <f aca="false">IF(K13="não",M13*($C$31+$D$31),M13*(C$31+D$31+E$31))</f>
        <v>507.8995732</v>
      </c>
      <c r="V13" s="26" t="n">
        <f aca="false">VLOOKUP(Q13,'Desl. Base Novo Hamburgo'!$C$5:$S$25,13,FALSE())*($C$31+$D$31+$E$31*(VLOOKUP(Q13,'Desl. Base Novo Hamburgo'!$C$5:$S$25,17,FALSE())/12))</f>
        <v>24.5603275166667</v>
      </c>
      <c r="W13" s="26" t="n">
        <f aca="false">VLOOKUP(Q13,'Desl. Base Novo Hamburgo'!$C$5:$S$25,15,FALSE())*(2+(VLOOKUP(Q13,'Desl. Base Novo Hamburgo'!$C$5:$S$25,17,FALSE())/12))</f>
        <v>0</v>
      </c>
      <c r="X13" s="26" t="n">
        <f aca="false">VLOOKUP(Q13,'Desl. Base Novo Hamburgo'!$C$5:$Q$25,14,FALSE())</f>
        <v>0</v>
      </c>
      <c r="Y13" s="26" t="n">
        <f aca="false">VLOOKUP(Q13,'Desl. Base Novo Hamburgo'!$C$5:Q$25,13,FALSE())*'Desl. Base Novo Hamburgo'!$E$30+'Desl. Base Novo Hamburgo'!$E$31*N13/12</f>
        <v>49.0954166666667</v>
      </c>
      <c r="Z13" s="26" t="n">
        <f aca="false">(H13/$AC$5)*'Equipe Técnica'!$C$13</f>
        <v>303.684498143413</v>
      </c>
      <c r="AA13" s="26" t="n">
        <f aca="false">(I13/$AC$5)*'Equipe Técnica'!$C$13</f>
        <v>364.421397772096</v>
      </c>
      <c r="AB13" s="26" t="n">
        <f aca="false">(L13/$AC$5)*'Equipe Técnica'!$C$13</f>
        <v>334.052947957754</v>
      </c>
      <c r="AC13" s="26" t="n">
        <f aca="false">(M13/$AC$5)*'Equipe Técnica'!$C$13</f>
        <v>941.42194424458</v>
      </c>
      <c r="AD13" s="26" t="n">
        <f aca="false">R13+(($V13+$W13+$X13+$Y13)*12/19)+$Z13</f>
        <v>448.12248752236</v>
      </c>
      <c r="AE13" s="26" t="n">
        <f aca="false">S13+(($V13+$W13+$X13+$Y13)*12/19)+$AA13</f>
        <v>528.443101551043</v>
      </c>
      <c r="AF13" s="26" t="n">
        <f aca="false">T13+(($V13+$W13+$X13+$Y13)*12/19)+$AB13</f>
        <v>488.282794536702</v>
      </c>
      <c r="AG13" s="26" t="n">
        <f aca="false">U13+(($V13+$W13+$X13+$Y13)*12/19)+$AC13</f>
        <v>1495.84093482353</v>
      </c>
      <c r="AH13" s="136"/>
      <c r="AI13" s="24" t="str">
        <f aca="false">B13</f>
        <v>APS SAPIRANGA</v>
      </c>
      <c r="AJ13" s="70" t="n">
        <f aca="false">VLOOKUP(AI13,Unidades!D$5:H$35,5,)</f>
        <v>0.2707</v>
      </c>
      <c r="AK13" s="48" t="n">
        <f aca="false">AD13*(1+$AJ13)</f>
        <v>569.429244894663</v>
      </c>
      <c r="AL13" s="48" t="n">
        <f aca="false">AE13*(1+$AJ13)</f>
        <v>671.49264914091</v>
      </c>
      <c r="AM13" s="48" t="n">
        <f aca="false">AF13*(1+$AJ13)</f>
        <v>620.460947017787</v>
      </c>
      <c r="AN13" s="48" t="n">
        <f aca="false">AG13*(1+$AJ13)</f>
        <v>1900.76507588026</v>
      </c>
      <c r="AO13" s="48" t="n">
        <f aca="false">((AK13*12)+(AL13*4)+(AM13*2)+AN13)/12</f>
        <v>1055.06737543462</v>
      </c>
      <c r="AP13" s="48" t="n">
        <f aca="false">AO13*$AP$6</f>
        <v>2781.54126250945</v>
      </c>
      <c r="AQ13" s="48" t="n">
        <f aca="false">AO13+AP13</f>
        <v>3836.60863794407</v>
      </c>
      <c r="AR13" s="71"/>
      <c r="AS13" s="74" t="s">
        <v>91</v>
      </c>
      <c r="AT13" s="48" t="n">
        <f aca="false">AT12*12</f>
        <v>685072.110670893</v>
      </c>
      <c r="AU13" s="48"/>
      <c r="AV13" s="73"/>
      <c r="AW13" s="73"/>
    </row>
    <row r="14" customFormat="false" ht="15" hidden="false" customHeight="true" outlineLevel="0" collapsed="false">
      <c r="B14" s="24" t="s">
        <v>137</v>
      </c>
      <c r="C14" s="66" t="n">
        <f aca="false">VLOOKUP($B14,Unidades!$D$5:$N$35,6,FALSE())</f>
        <v>334.4</v>
      </c>
      <c r="D14" s="66" t="n">
        <f aca="false">VLOOKUP($B14,Unidades!$D$5:$N$35,7,FALSE())</f>
        <v>296</v>
      </c>
      <c r="E14" s="66" t="n">
        <f aca="false">VLOOKUP($B14,Unidades!$D$5:$N$35,8,FALSE())</f>
        <v>38.4</v>
      </c>
      <c r="F14" s="66" t="n">
        <f aca="false">VLOOKUP($B14,Unidades!$D$5:$N$35,9,FALSE())</f>
        <v>0</v>
      </c>
      <c r="G14" s="66" t="n">
        <f aca="false">D14+$E$6*E14+$F$6*F14</f>
        <v>309.44</v>
      </c>
      <c r="H14" s="67" t="n">
        <f aca="false">IF(G14&lt;750,1.5,IF(G14&lt;2000,2,IF(G14&lt;4000,3,12)))</f>
        <v>1.5</v>
      </c>
      <c r="I14" s="67" t="n">
        <f aca="false">$I$6*H14</f>
        <v>1.8</v>
      </c>
      <c r="J14" s="67" t="str">
        <f aca="false">VLOOKUP($B14,Unidades!$D$5:$N$35,10,FALSE())</f>
        <v>NÃO</v>
      </c>
      <c r="K14" s="67" t="str">
        <f aca="false">VLOOKUP($B14,Unidades!$D$5:$N$35,11,FALSE())</f>
        <v>NÃO</v>
      </c>
      <c r="L14" s="67" t="n">
        <f aca="false">$L$6*H14+(IF(J14="SIM",$J$6,0))</f>
        <v>1.65</v>
      </c>
      <c r="M14" s="67" t="n">
        <f aca="false">$M$6*H14+(IF(J14="SIM",$J$6,0))+(IF(K14="SIM",$K$6,0))</f>
        <v>1.65</v>
      </c>
      <c r="N14" s="67" t="n">
        <f aca="false">H14*12+I14*4+L14*2+M14</f>
        <v>30.15</v>
      </c>
      <c r="O14" s="68" t="n">
        <f aca="false">IF(K14="não", N14*(C$31+D$31),N14*(C$31+D$31)+(M14*+E$31))</f>
        <v>1476.1224729</v>
      </c>
      <c r="P14" s="69"/>
      <c r="Q14" s="24" t="str">
        <f aca="false">B14</f>
        <v>APS PORTÃO</v>
      </c>
      <c r="R14" s="26" t="n">
        <f aca="false">H14*($C$31+$D$31)</f>
        <v>73.438929</v>
      </c>
      <c r="S14" s="26" t="n">
        <f aca="false">I14*($C$31+$D$31)</f>
        <v>88.1267148</v>
      </c>
      <c r="T14" s="26" t="n">
        <f aca="false">L14*($C$31+$D$31)</f>
        <v>80.7828219</v>
      </c>
      <c r="U14" s="26" t="n">
        <f aca="false">IF(K14="não",M14*($C$31+$D$31),M14*(C$31+D$31+E$31))</f>
        <v>80.7828219</v>
      </c>
      <c r="V14" s="26" t="n">
        <f aca="false">VLOOKUP(Q14,'Desl. Base Novo Hamburgo'!$C$5:$S$25,13,FALSE())*($C$31+$D$31+$E$31*(VLOOKUP(Q14,'Desl. Base Novo Hamburgo'!$C$5:$S$25,17,FALSE())/12))</f>
        <v>25.4220933944445</v>
      </c>
      <c r="W14" s="26" t="n">
        <f aca="false">VLOOKUP(Q14,'Desl. Base Novo Hamburgo'!$C$5:$S$25,15,FALSE())*(2+(VLOOKUP(Q14,'Desl. Base Novo Hamburgo'!$C$5:$S$25,17,FALSE())/12))</f>
        <v>0</v>
      </c>
      <c r="X14" s="26" t="n">
        <f aca="false">VLOOKUP(Q14,'Desl. Base Novo Hamburgo'!$C$5:$Q$25,14,FALSE())</f>
        <v>0</v>
      </c>
      <c r="Y14" s="26" t="n">
        <f aca="false">VLOOKUP(Q14,'Desl. Base Novo Hamburgo'!$C$5:Q$25,13,FALSE())*'Desl. Base Novo Hamburgo'!$E$30+'Desl. Base Novo Hamburgo'!$E$31*N14/12</f>
        <v>42.2895833333333</v>
      </c>
      <c r="Z14" s="26" t="n">
        <f aca="false">(H14/$AC$5)*'Equipe Técnica'!$C$13</f>
        <v>227.76337360756</v>
      </c>
      <c r="AA14" s="26" t="n">
        <f aca="false">(I14/$AC$5)*'Equipe Técnica'!$C$13</f>
        <v>273.316048329072</v>
      </c>
      <c r="AB14" s="26" t="n">
        <f aca="false">(L14/$AC$5)*'Equipe Técnica'!$C$13</f>
        <v>250.539710968316</v>
      </c>
      <c r="AC14" s="26" t="n">
        <f aca="false">(M14/$AC$5)*'Equipe Técnica'!$C$13</f>
        <v>250.539710968316</v>
      </c>
      <c r="AD14" s="26" t="n">
        <f aca="false">R14+(($V14+$W14+$X14+$Y14)*12/19)+$Z14</f>
        <v>343.96757211984</v>
      </c>
      <c r="AE14" s="26" t="n">
        <f aca="false">S14+(($V14+$W14+$X14+$Y14)*12/19)+$AA14</f>
        <v>404.208032641352</v>
      </c>
      <c r="AF14" s="26" t="n">
        <f aca="false">T14+(($V14+$W14+$X14+$Y14)*12/19)+$AB14</f>
        <v>374.087802380597</v>
      </c>
      <c r="AG14" s="26" t="n">
        <f aca="false">U14+(($V14+$W14+$X14+$Y14)*12/19)+$AC14</f>
        <v>374.087802380597</v>
      </c>
      <c r="AH14" s="136"/>
      <c r="AI14" s="24" t="str">
        <f aca="false">B14</f>
        <v>APS PORTÃO</v>
      </c>
      <c r="AJ14" s="70" t="n">
        <f aca="false">VLOOKUP(AI14,Unidades!D$5:H$35,5,)</f>
        <v>0.2778</v>
      </c>
      <c r="AK14" s="48" t="n">
        <f aca="false">AD14*(1+$AJ14)</f>
        <v>439.521763654732</v>
      </c>
      <c r="AL14" s="48" t="n">
        <f aca="false">AE14*(1+$AJ14)</f>
        <v>516.49702410912</v>
      </c>
      <c r="AM14" s="48" t="n">
        <f aca="false">AF14*(1+$AJ14)</f>
        <v>478.009393881926</v>
      </c>
      <c r="AN14" s="48" t="n">
        <f aca="false">AG14*(1+$AJ14)</f>
        <v>478.009393881926</v>
      </c>
      <c r="AO14" s="48" t="n">
        <f aca="false">((AK14*12)+(AL14*4)+(AM14*2)+AN14)/12</f>
        <v>731.189786828254</v>
      </c>
      <c r="AP14" s="48" t="n">
        <f aca="false">AO14*$AP$6</f>
        <v>1927.68216527449</v>
      </c>
      <c r="AQ14" s="48" t="n">
        <f aca="false">AO14+AP14</f>
        <v>2658.87195210274</v>
      </c>
      <c r="AR14" s="71"/>
      <c r="AS14" s="74" t="s">
        <v>74</v>
      </c>
      <c r="AT14" s="48" t="n">
        <f aca="false">AT10+AT12</f>
        <v>78743.9207667693</v>
      </c>
      <c r="AU14" s="48"/>
      <c r="AV14" s="73"/>
      <c r="AW14" s="73"/>
    </row>
    <row r="15" customFormat="false" ht="15" hidden="false" customHeight="true" outlineLevel="0" collapsed="false">
      <c r="B15" s="24" t="s">
        <v>138</v>
      </c>
      <c r="C15" s="66" t="n">
        <f aca="false">VLOOKUP($B15,Unidades!$D$5:$N$35,6,FALSE())</f>
        <v>2884.09</v>
      </c>
      <c r="D15" s="66" t="n">
        <f aca="false">VLOOKUP($B15,Unidades!$D$5:$N$35,7,FALSE())</f>
        <v>0</v>
      </c>
      <c r="E15" s="66" t="n">
        <f aca="false">VLOOKUP($B15,Unidades!$D$5:$N$35,8,FALSE())</f>
        <v>0</v>
      </c>
      <c r="F15" s="66" t="n">
        <f aca="false">VLOOKUP($B15,Unidades!$D$5:$N$35,9,FALSE())</f>
        <v>2884.09</v>
      </c>
      <c r="G15" s="66" t="n">
        <f aca="false">D15+$E$6*E15+$F$6*F15</f>
        <v>288.409</v>
      </c>
      <c r="H15" s="67" t="n">
        <f aca="false">IF(G15&lt;750,1.5,IF(G15&lt;2000,2,IF(G15&lt;4000,3,12)))</f>
        <v>1.5</v>
      </c>
      <c r="I15" s="67" t="n">
        <f aca="false">$I$6*H15</f>
        <v>1.8</v>
      </c>
      <c r="J15" s="67" t="str">
        <f aca="false">VLOOKUP($B15,Unidades!$D$5:$N$35,10,FALSE())</f>
        <v>NÃO</v>
      </c>
      <c r="K15" s="67" t="str">
        <f aca="false">VLOOKUP($B15,Unidades!$D$5:$N$35,11,FALSE())</f>
        <v>SIM</v>
      </c>
      <c r="L15" s="67" t="n">
        <f aca="false">$L$6*H15+(IF(J15="SIM",$J$6,0))</f>
        <v>1.65</v>
      </c>
      <c r="M15" s="67" t="n">
        <f aca="false">$M$6*H15+(IF(J15="SIM",$J$6,0))+(IF(K15="SIM",$K$6,0))</f>
        <v>5.65</v>
      </c>
      <c r="N15" s="67" t="n">
        <f aca="false">H15*12+I15*4+L15*2+M15</f>
        <v>34.15</v>
      </c>
      <c r="O15" s="68" t="n">
        <f aca="false">IF(K15="não", N15*(C$31+D$31),N15*(C$31+D$31)+(M15*+E$31))</f>
        <v>1858.1836169</v>
      </c>
      <c r="P15" s="69"/>
      <c r="Q15" s="24" t="str">
        <f aca="false">B15</f>
        <v>APS SÃO LEOPOLDO</v>
      </c>
      <c r="R15" s="26" t="n">
        <f aca="false">H15*($C$31+$D$31)</f>
        <v>73.438929</v>
      </c>
      <c r="S15" s="26" t="n">
        <f aca="false">I15*($C$31+$D$31)</f>
        <v>88.1267148</v>
      </c>
      <c r="T15" s="26" t="n">
        <f aca="false">L15*($C$31+$D$31)</f>
        <v>80.7828219</v>
      </c>
      <c r="U15" s="26" t="n">
        <f aca="false">IF(K15="não",M15*($C$31+$D$31),M15*(C$31+D$31+E$31))</f>
        <v>462.8439659</v>
      </c>
      <c r="V15" s="26" t="n">
        <f aca="false">VLOOKUP(Q15,'Desl. Base Novo Hamburgo'!$C$5:$S$25,13,FALSE())*($C$31+$D$31+$E$31*(VLOOKUP(Q15,'Desl. Base Novo Hamburgo'!$C$5:$S$25,17,FALSE())/12))</f>
        <v>25.4220933944445</v>
      </c>
      <c r="W15" s="26" t="n">
        <f aca="false">VLOOKUP(Q15,'Desl. Base Novo Hamburgo'!$C$5:$S$25,15,FALSE())*(2+(VLOOKUP(Q15,'Desl. Base Novo Hamburgo'!$C$5:$S$25,17,FALSE())/12))</f>
        <v>0</v>
      </c>
      <c r="X15" s="26" t="n">
        <f aca="false">VLOOKUP(Q15,'Desl. Base Novo Hamburgo'!$C$5:$Q$25,14,FALSE())</f>
        <v>0</v>
      </c>
      <c r="Y15" s="26" t="n">
        <f aca="false">VLOOKUP(Q15,'Desl. Base Novo Hamburgo'!$C$5:Q$25,13,FALSE())*'Desl. Base Novo Hamburgo'!$E$30+'Desl. Base Novo Hamburgo'!$E$31*N15/12</f>
        <v>44.47625</v>
      </c>
      <c r="Z15" s="26" t="n">
        <f aca="false">(H15/$AC$5)*'Equipe Técnica'!$C$13</f>
        <v>227.76337360756</v>
      </c>
      <c r="AA15" s="26" t="n">
        <f aca="false">(I15/$AC$5)*'Equipe Técnica'!$C$13</f>
        <v>273.316048329072</v>
      </c>
      <c r="AB15" s="26" t="n">
        <f aca="false">(L15/$AC$5)*'Equipe Técnica'!$C$13</f>
        <v>250.539710968316</v>
      </c>
      <c r="AC15" s="26" t="n">
        <f aca="false">(M15/$AC$5)*'Equipe Técnica'!$C$13</f>
        <v>857.908707255142</v>
      </c>
      <c r="AD15" s="26" t="n">
        <f aca="false">R15+(($V15+$W15+$X15+$Y15)*12/19)+$Z15</f>
        <v>345.348624751419</v>
      </c>
      <c r="AE15" s="26" t="n">
        <f aca="false">S15+(($V15+$W15+$X15+$Y15)*12/19)+$AA15</f>
        <v>405.589085272931</v>
      </c>
      <c r="AF15" s="26" t="n">
        <f aca="false">T15+(($V15+$W15+$X15+$Y15)*12/19)+$AB15</f>
        <v>375.468855012175</v>
      </c>
      <c r="AG15" s="26" t="n">
        <f aca="false">U15+(($V15+$W15+$X15+$Y15)*12/19)+$AC15</f>
        <v>1364.898995299</v>
      </c>
      <c r="AH15" s="136"/>
      <c r="AI15" s="24" t="str">
        <f aca="false">B15</f>
        <v>APS SÃO LEOPOLDO</v>
      </c>
      <c r="AJ15" s="70" t="n">
        <f aca="false">VLOOKUP(AI15,Unidades!D$5:H$35,5,)</f>
        <v>0.2849</v>
      </c>
      <c r="AK15" s="48" t="n">
        <f aca="false">AD15*(1+$AJ15)</f>
        <v>443.738447943099</v>
      </c>
      <c r="AL15" s="48" t="n">
        <f aca="false">AE15*(1+$AJ15)</f>
        <v>521.141415667189</v>
      </c>
      <c r="AM15" s="48" t="n">
        <f aca="false">AF15*(1+$AJ15)</f>
        <v>482.439931805144</v>
      </c>
      <c r="AN15" s="48" t="n">
        <f aca="false">AG15*(1+$AJ15)</f>
        <v>1753.75871905969</v>
      </c>
      <c r="AO15" s="48" t="n">
        <f aca="false">((AK15*12)+(AL15*4)+(AM15*2)+AN15)/12</f>
        <v>844.005468387993</v>
      </c>
      <c r="AP15" s="48" t="n">
        <f aca="false">AO15*$AP$6</f>
        <v>2225.10532575016</v>
      </c>
      <c r="AQ15" s="48" t="n">
        <f aca="false">AO15+AP15</f>
        <v>3069.11079413816</v>
      </c>
      <c r="AR15" s="71"/>
      <c r="AS15" s="74" t="s">
        <v>94</v>
      </c>
      <c r="AT15" s="48" t="n">
        <f aca="false">AT11+AT13</f>
        <v>944927.049201232</v>
      </c>
      <c r="AU15" s="48"/>
      <c r="AV15" s="73"/>
      <c r="AW15" s="73"/>
    </row>
    <row r="16" customFormat="false" ht="15" hidden="false" customHeight="true" outlineLevel="0" collapsed="false">
      <c r="B16" s="24" t="s">
        <v>139</v>
      </c>
      <c r="C16" s="66" t="n">
        <f aca="false">VLOOKUP($B16,Unidades!$D$5:$N$35,6,FALSE())</f>
        <v>2263.27</v>
      </c>
      <c r="D16" s="66" t="n">
        <f aca="false">VLOOKUP($B16,Unidades!$D$5:$N$35,7,FALSE())</f>
        <v>729.05</v>
      </c>
      <c r="E16" s="66" t="n">
        <f aca="false">VLOOKUP($B16,Unidades!$D$5:$N$35,8,FALSE())</f>
        <v>578.15</v>
      </c>
      <c r="F16" s="66" t="n">
        <f aca="false">VLOOKUP($B16,Unidades!$D$5:$N$35,9,FALSE())</f>
        <v>956.07</v>
      </c>
      <c r="G16" s="66" t="n">
        <f aca="false">D16+$E$6*E16+$F$6*F16</f>
        <v>1027.0095</v>
      </c>
      <c r="H16" s="67" t="n">
        <f aca="false">IF(G16&lt;750,1.5,IF(G16&lt;2000,2,IF(G16&lt;4000,3,12)))</f>
        <v>2</v>
      </c>
      <c r="I16" s="67" t="n">
        <f aca="false">$I$6*H16</f>
        <v>2.4</v>
      </c>
      <c r="J16" s="67" t="str">
        <f aca="false">VLOOKUP($B16,Unidades!$D$5:$N$35,10,FALSE())</f>
        <v>NÃO</v>
      </c>
      <c r="K16" s="67" t="str">
        <f aca="false">VLOOKUP($B16,Unidades!$D$5:$N$35,11,FALSE())</f>
        <v>SIM</v>
      </c>
      <c r="L16" s="67" t="n">
        <f aca="false">$L$6*H16+(IF(J16="SIM",$J$6,0))</f>
        <v>2.2</v>
      </c>
      <c r="M16" s="67" t="n">
        <f aca="false">$M$6*H16+(IF(J16="SIM",$J$6,0))+(IF(K16="SIM",$K$6,0))</f>
        <v>6.2</v>
      </c>
      <c r="N16" s="67" t="n">
        <f aca="false">H16*12+I16*4+L16*2+M16</f>
        <v>44.2</v>
      </c>
      <c r="O16" s="68" t="n">
        <f aca="false">IF(K16="não", N16*(C$31+D$31),N16*(C$31+D$31)+(M16*+E$31))</f>
        <v>2368.3524412</v>
      </c>
      <c r="P16" s="69"/>
      <c r="Q16" s="24" t="str">
        <f aca="false">B16</f>
        <v>APS MONTENEGRO</v>
      </c>
      <c r="R16" s="26" t="n">
        <f aca="false">H16*($C$31+$D$31)</f>
        <v>97.918572</v>
      </c>
      <c r="S16" s="26" t="n">
        <f aca="false">I16*($C$31+$D$31)</f>
        <v>117.5022864</v>
      </c>
      <c r="T16" s="26" t="n">
        <f aca="false">L16*($C$31+$D$31)</f>
        <v>107.7104292</v>
      </c>
      <c r="U16" s="26" t="n">
        <f aca="false">IF(K16="não",M16*($C$31+$D$31),M16*(C$31+D$31+E$31))</f>
        <v>507.8995732</v>
      </c>
      <c r="V16" s="26" t="n">
        <f aca="false">VLOOKUP(Q16,'Desl. Base Novo Hamburgo'!$C$5:$S$25,13,FALSE())*($C$31+$D$31+$E$31*(VLOOKUP(Q16,'Desl. Base Novo Hamburgo'!$C$5:$S$25,17,FALSE())/12))</f>
        <v>46.1044744611111</v>
      </c>
      <c r="W16" s="26" t="n">
        <f aca="false">VLOOKUP(Q16,'Desl. Base Novo Hamburgo'!$C$5:$S$25,15,FALSE())*(2+(VLOOKUP(Q16,'Desl. Base Novo Hamburgo'!$C$5:$S$25,17,FALSE())/12))</f>
        <v>0</v>
      </c>
      <c r="X16" s="26" t="n">
        <f aca="false">VLOOKUP(Q16,'Desl. Base Novo Hamburgo'!$C$5:$Q$25,14,FALSE())</f>
        <v>9</v>
      </c>
      <c r="Y16" s="26" t="n">
        <f aca="false">VLOOKUP(Q16,'Desl. Base Novo Hamburgo'!$C$5:Q$25,13,FALSE())*'Desl. Base Novo Hamburgo'!$E$30+'Desl. Base Novo Hamburgo'!$E$31*N16/12</f>
        <v>70.96625</v>
      </c>
      <c r="Z16" s="26" t="n">
        <f aca="false">(H16/$AC$5)*'Equipe Técnica'!$C$13</f>
        <v>303.684498143413</v>
      </c>
      <c r="AA16" s="26" t="n">
        <f aca="false">(I16/$AC$5)*'Equipe Técnica'!$C$13</f>
        <v>364.421397772096</v>
      </c>
      <c r="AB16" s="26" t="n">
        <f aca="false">(L16/$AC$5)*'Equipe Técnica'!$C$13</f>
        <v>334.052947957754</v>
      </c>
      <c r="AC16" s="26" t="n">
        <f aca="false">(M16/$AC$5)*'Equipe Técnica'!$C$13</f>
        <v>941.42194424458</v>
      </c>
      <c r="AD16" s="26" t="n">
        <f aca="false">R16+(($V16+$W16+$X16+$Y16)*12/19)+$Z16</f>
        <v>481.226685592536</v>
      </c>
      <c r="AE16" s="26" t="n">
        <f aca="false">S16+(($V16+$W16+$X16+$Y16)*12/19)+$AA16</f>
        <v>561.547299621218</v>
      </c>
      <c r="AF16" s="26" t="n">
        <f aca="false">T16+(($V16+$W16+$X16+$Y16)*12/19)+$AB16</f>
        <v>521.386992606877</v>
      </c>
      <c r="AG16" s="26" t="n">
        <f aca="false">U16+(($V16+$W16+$X16+$Y16)*12/19)+$AC16</f>
        <v>1528.9451328937</v>
      </c>
      <c r="AH16" s="136"/>
      <c r="AI16" s="24" t="str">
        <f aca="false">B16</f>
        <v>APS MONTENEGRO</v>
      </c>
      <c r="AJ16" s="70" t="n">
        <f aca="false">VLOOKUP(AI16,Unidades!D$5:H$35,5,)</f>
        <v>0.2849</v>
      </c>
      <c r="AK16" s="48" t="n">
        <f aca="false">AD16*(1+$AJ16)</f>
        <v>618.328168317849</v>
      </c>
      <c r="AL16" s="48" t="n">
        <f aca="false">AE16*(1+$AJ16)</f>
        <v>721.532125283304</v>
      </c>
      <c r="AM16" s="48" t="n">
        <f aca="false">AF16*(1+$AJ16)</f>
        <v>669.930146800576</v>
      </c>
      <c r="AN16" s="48" t="n">
        <f aca="false">AG16*(1+$AJ16)</f>
        <v>1964.54160125512</v>
      </c>
      <c r="AO16" s="48" t="n">
        <f aca="false">((AK16*12)+(AL16*4)+(AM16*2)+AN16)/12</f>
        <v>1134.20570131697</v>
      </c>
      <c r="AP16" s="48" t="n">
        <f aca="false">AO16*$AP$6</f>
        <v>2990.17866710838</v>
      </c>
      <c r="AQ16" s="48" t="n">
        <f aca="false">AO16+AP16</f>
        <v>4124.38436842536</v>
      </c>
      <c r="AR16" s="71"/>
      <c r="AV16" s="73"/>
      <c r="AW16" s="73"/>
    </row>
    <row r="17" customFormat="false" ht="15" hidden="false" customHeight="true" outlineLevel="0" collapsed="false">
      <c r="B17" s="24" t="s">
        <v>140</v>
      </c>
      <c r="C17" s="66" t="n">
        <f aca="false">VLOOKUP($B17,Unidades!$D$5:$N$35,6,FALSE())</f>
        <v>1082.18</v>
      </c>
      <c r="D17" s="66" t="n">
        <f aca="false">VLOOKUP($B17,Unidades!$D$5:$N$35,7,FALSE())</f>
        <v>0</v>
      </c>
      <c r="E17" s="66" t="n">
        <f aca="false">VLOOKUP($B17,Unidades!$D$5:$N$35,8,FALSE())</f>
        <v>0</v>
      </c>
      <c r="F17" s="66" t="n">
        <f aca="false">VLOOKUP($B17,Unidades!$D$5:$N$35,9,FALSE())</f>
        <v>1082.18</v>
      </c>
      <c r="G17" s="66" t="n">
        <f aca="false">D17+$E$6*E17+$F$6*F17</f>
        <v>108.218</v>
      </c>
      <c r="H17" s="67" t="n">
        <f aca="false">IF(G17&lt;750,1.5,IF(G17&lt;2000,2,IF(G17&lt;4000,3,12)))</f>
        <v>1.5</v>
      </c>
      <c r="I17" s="67" t="n">
        <f aca="false">$I$6*H17</f>
        <v>1.8</v>
      </c>
      <c r="J17" s="67" t="str">
        <f aca="false">VLOOKUP($B17,Unidades!$D$5:$N$35,10,FALSE())</f>
        <v>NÃO</v>
      </c>
      <c r="K17" s="67" t="str">
        <f aca="false">VLOOKUP($B17,Unidades!$D$5:$N$35,11,FALSE())</f>
        <v>SIM</v>
      </c>
      <c r="L17" s="67" t="n">
        <f aca="false">$L$6*H17+(IF(J17="SIM",$J$6,0))</f>
        <v>1.65</v>
      </c>
      <c r="M17" s="67" t="n">
        <f aca="false">$M$6*H17+(IF(J17="SIM",$J$6,0))+(IF(K17="SIM",$K$6,0))</f>
        <v>5.65</v>
      </c>
      <c r="N17" s="67" t="n">
        <f aca="false">H17*12+I17*4+L17*2+M17</f>
        <v>34.15</v>
      </c>
      <c r="O17" s="68" t="n">
        <f aca="false">IF(K17="não", N17*(C$31+D$31),N17*(C$31+D$31)+(M17*+E$31))</f>
        <v>1858.1836169</v>
      </c>
      <c r="P17" s="69"/>
      <c r="Q17" s="24" t="str">
        <f aca="false">B17</f>
        <v>APS SÃO SEBASTIÃO DO CAÍ</v>
      </c>
      <c r="R17" s="26" t="n">
        <f aca="false">H17*($C$31+$D$31)</f>
        <v>73.438929</v>
      </c>
      <c r="S17" s="26" t="n">
        <f aca="false">I17*($C$31+$D$31)</f>
        <v>88.1267148</v>
      </c>
      <c r="T17" s="26" t="n">
        <f aca="false">L17*($C$31+$D$31)</f>
        <v>80.7828219</v>
      </c>
      <c r="U17" s="26" t="n">
        <f aca="false">IF(K17="não",M17*($C$31+$D$31),M17*(C$31+D$31+E$31))</f>
        <v>462.8439659</v>
      </c>
      <c r="V17" s="26" t="n">
        <f aca="false">VLOOKUP(Q17,'Desl. Base Novo Hamburgo'!$C$5:$S$25,13,FALSE())*($C$31+$D$31+$E$31*(VLOOKUP(Q17,'Desl. Base Novo Hamburgo'!$C$5:$S$25,17,FALSE())/12))</f>
        <v>46.1044744611111</v>
      </c>
      <c r="W17" s="26" t="n">
        <f aca="false">VLOOKUP(Q17,'Desl. Base Novo Hamburgo'!$C$5:$S$25,15,FALSE())*(2+(VLOOKUP(Q17,'Desl. Base Novo Hamburgo'!$C$5:$S$25,17,FALSE())/12))</f>
        <v>0</v>
      </c>
      <c r="X17" s="26" t="n">
        <f aca="false">VLOOKUP(Q17,'Desl. Base Novo Hamburgo'!$C$5:$Q$25,14,FALSE())</f>
        <v>9</v>
      </c>
      <c r="Y17" s="26" t="n">
        <f aca="false">VLOOKUP(Q17,'Desl. Base Novo Hamburgo'!$C$5:Q$25,13,FALSE())*'Desl. Base Novo Hamburgo'!$E$30+'Desl. Base Novo Hamburgo'!$E$31*N17/12</f>
        <v>65.47225</v>
      </c>
      <c r="Z17" s="26" t="n">
        <f aca="false">(H17/$AC$5)*'Equipe Técnica'!$C$13</f>
        <v>227.76337360756</v>
      </c>
      <c r="AA17" s="26" t="n">
        <f aca="false">(I17/$AC$5)*'Equipe Técnica'!$C$13</f>
        <v>273.316048329072</v>
      </c>
      <c r="AB17" s="26" t="n">
        <f aca="false">(L17/$AC$5)*'Equipe Técnica'!$C$13</f>
        <v>250.539710968316</v>
      </c>
      <c r="AC17" s="26" t="n">
        <f aca="false">(M17/$AC$5)*'Equipe Técnica'!$C$13</f>
        <v>857.908707255142</v>
      </c>
      <c r="AD17" s="26" t="n">
        <f aca="false">R17+(($V17+$W17+$X17+$Y17)*12/19)+$Z17</f>
        <v>377.35602331984</v>
      </c>
      <c r="AE17" s="26" t="n">
        <f aca="false">S17+(($V17+$W17+$X17+$Y17)*12/19)+$AA17</f>
        <v>437.596483841352</v>
      </c>
      <c r="AF17" s="26" t="n">
        <f aca="false">T17+(($V17+$W17+$X17+$Y17)*12/19)+$AB17</f>
        <v>407.476253580596</v>
      </c>
      <c r="AG17" s="26" t="n">
        <f aca="false">U17+(($V17+$W17+$X17+$Y17)*12/19)+$AC17</f>
        <v>1396.90639386742</v>
      </c>
      <c r="AH17" s="136"/>
      <c r="AI17" s="24" t="str">
        <f aca="false">B17</f>
        <v>APS SÃO SEBASTIÃO DO CAÍ</v>
      </c>
      <c r="AJ17" s="70" t="n">
        <f aca="false">VLOOKUP(AI17,Unidades!D$5:H$35,5,)</f>
        <v>0.2849</v>
      </c>
      <c r="AK17" s="48" t="n">
        <f aca="false">AD17*(1+$AJ17)</f>
        <v>484.864754363663</v>
      </c>
      <c r="AL17" s="48" t="n">
        <f aca="false">AE17*(1+$AJ17)</f>
        <v>562.267722087754</v>
      </c>
      <c r="AM17" s="48" t="n">
        <f aca="false">AF17*(1+$AJ17)</f>
        <v>523.566238225708</v>
      </c>
      <c r="AN17" s="48" t="n">
        <f aca="false">AG17*(1+$AJ17)</f>
        <v>1794.88502548025</v>
      </c>
      <c r="AO17" s="48" t="n">
        <f aca="false">((AK17*12)+(AL17*4)+(AM17*2)+AN17)/12</f>
        <v>909.122120220553</v>
      </c>
      <c r="AP17" s="48" t="n">
        <f aca="false">AO17*$AP$6</f>
        <v>2396.77649876328</v>
      </c>
      <c r="AQ17" s="48" t="n">
        <f aca="false">AO17+AP17</f>
        <v>3305.89861898383</v>
      </c>
      <c r="AR17" s="71"/>
      <c r="AV17" s="73"/>
      <c r="AW17" s="73"/>
    </row>
    <row r="18" customFormat="false" ht="15" hidden="false" customHeight="true" outlineLevel="0" collapsed="false">
      <c r="B18" s="24" t="s">
        <v>141</v>
      </c>
      <c r="C18" s="66" t="n">
        <f aca="false">VLOOKUP($B18,Unidades!$D$5:$N$35,6,FALSE())</f>
        <v>1719.85</v>
      </c>
      <c r="D18" s="66" t="n">
        <f aca="false">VLOOKUP($B18,Unidades!$D$5:$N$35,7,FALSE())</f>
        <v>0</v>
      </c>
      <c r="E18" s="66" t="n">
        <f aca="false">VLOOKUP($B18,Unidades!$D$5:$N$35,8,FALSE())</f>
        <v>0</v>
      </c>
      <c r="F18" s="66" t="n">
        <f aca="false">VLOOKUP($B18,Unidades!$D$5:$N$35,9,FALSE())</f>
        <v>1719.85</v>
      </c>
      <c r="G18" s="66" t="n">
        <f aca="false">D18+$E$6*E18+$F$6*F18</f>
        <v>171.985</v>
      </c>
      <c r="H18" s="67" t="n">
        <f aca="false">IF(G18&lt;750,1.5,IF(G18&lt;2000,2,IF(G18&lt;4000,3,12)))</f>
        <v>1.5</v>
      </c>
      <c r="I18" s="67" t="n">
        <f aca="false">$I$6*H18</f>
        <v>1.8</v>
      </c>
      <c r="J18" s="67" t="str">
        <f aca="false">VLOOKUP($B18,Unidades!$D$5:$N$35,10,FALSE())</f>
        <v>NÃO</v>
      </c>
      <c r="K18" s="67" t="str">
        <f aca="false">VLOOKUP($B18,Unidades!$D$5:$N$35,11,FALSE())</f>
        <v>SIM</v>
      </c>
      <c r="L18" s="67" t="n">
        <f aca="false">$L$6*H18+(IF(J18="SIM",$J$6,0))</f>
        <v>1.65</v>
      </c>
      <c r="M18" s="67" t="n">
        <f aca="false">$M$6*H18+(IF(J18="SIM",$J$6,0))+(IF(K18="SIM",$K$6,0))</f>
        <v>5.65</v>
      </c>
      <c r="N18" s="67" t="n">
        <f aca="false">H18*12+I18*4+L18*2+M18</f>
        <v>34.15</v>
      </c>
      <c r="O18" s="68" t="n">
        <f aca="false">IF(K18="não", N18*(C$31+D$31),N18*(C$31+D$31)+(M18*+E$31))</f>
        <v>1858.1836169</v>
      </c>
      <c r="P18" s="69"/>
      <c r="Q18" s="24" t="str">
        <f aca="false">B18</f>
        <v>APS ESTRELA</v>
      </c>
      <c r="R18" s="26" t="n">
        <f aca="false">H18*($C$31+$D$31)</f>
        <v>73.438929</v>
      </c>
      <c r="S18" s="26" t="n">
        <f aca="false">I18*($C$31+$D$31)</f>
        <v>88.1267148</v>
      </c>
      <c r="T18" s="26" t="n">
        <f aca="false">L18*($C$31+$D$31)</f>
        <v>80.7828219</v>
      </c>
      <c r="U18" s="26" t="n">
        <f aca="false">IF(K18="não",M18*($C$31+$D$31),M18*(C$31+D$31+E$31))</f>
        <v>462.8439659</v>
      </c>
      <c r="V18" s="26" t="n">
        <f aca="false">VLOOKUP(Q18,'Desl. Base Novo Hamburgo'!$C$5:$S$25,13,FALSE())*($C$31+$D$31+$E$31*(VLOOKUP(Q18,'Desl. Base Novo Hamburgo'!$C$5:$S$25,17,FALSE())/12))</f>
        <v>82.2986413277778</v>
      </c>
      <c r="W18" s="26" t="n">
        <f aca="false">VLOOKUP(Q18,'Desl. Base Novo Hamburgo'!$C$5:$S$25,15,FALSE())*(2+(VLOOKUP(Q18,'Desl. Base Novo Hamburgo'!$C$5:$S$25,17,FALSE())/12))</f>
        <v>0</v>
      </c>
      <c r="X18" s="26" t="n">
        <f aca="false">VLOOKUP(Q18,'Desl. Base Novo Hamburgo'!$C$5:$Q$25,14,FALSE())</f>
        <v>12.75</v>
      </c>
      <c r="Y18" s="26" t="n">
        <f aca="false">VLOOKUP(Q18,'Desl. Base Novo Hamburgo'!$C$5:Q$25,13,FALSE())*'Desl. Base Novo Hamburgo'!$E$30+'Desl. Base Novo Hamburgo'!$E$31*N18/12</f>
        <v>102.21525</v>
      </c>
      <c r="Z18" s="26" t="n">
        <f aca="false">(H18/$AC$5)*'Equipe Técnica'!$C$13</f>
        <v>227.76337360756</v>
      </c>
      <c r="AA18" s="26" t="n">
        <f aca="false">(I18/$AC$5)*'Equipe Técnica'!$C$13</f>
        <v>273.316048329072</v>
      </c>
      <c r="AB18" s="26" t="n">
        <f aca="false">(L18/$AC$5)*'Equipe Técnica'!$C$13</f>
        <v>250.539710968316</v>
      </c>
      <c r="AC18" s="26" t="n">
        <f aca="false">(M18/$AC$5)*'Equipe Técnica'!$C$13</f>
        <v>857.908707255142</v>
      </c>
      <c r="AD18" s="26" t="n">
        <f aca="false">R18+(($V18+$W18+$X18+$Y18)*12/19)+$Z18</f>
        <v>425.790023446156</v>
      </c>
      <c r="AE18" s="26" t="n">
        <f aca="false">S18+(($V18+$W18+$X18+$Y18)*12/19)+$AA18</f>
        <v>486.030483967668</v>
      </c>
      <c r="AF18" s="26" t="n">
        <f aca="false">T18+(($V18+$W18+$X18+$Y18)*12/19)+$AB18</f>
        <v>455.910253706912</v>
      </c>
      <c r="AG18" s="26" t="n">
        <f aca="false">U18+(($V18+$W18+$X18+$Y18)*12/19)+$AC18</f>
        <v>1445.34039399374</v>
      </c>
      <c r="AH18" s="136"/>
      <c r="AI18" s="24" t="str">
        <f aca="false">B18</f>
        <v>APS ESTRELA</v>
      </c>
      <c r="AJ18" s="70" t="n">
        <f aca="false">VLOOKUP(AI18,Unidades!D$5:H$35,5,)</f>
        <v>0.2778</v>
      </c>
      <c r="AK18" s="48" t="n">
        <f aca="false">AD18*(1+$AJ18)</f>
        <v>544.074491959499</v>
      </c>
      <c r="AL18" s="48" t="n">
        <f aca="false">AE18*(1+$AJ18)</f>
        <v>621.049752413887</v>
      </c>
      <c r="AM18" s="48" t="n">
        <f aca="false">AF18*(1+$AJ18)</f>
        <v>582.562122186693</v>
      </c>
      <c r="AN18" s="48" t="n">
        <f aca="false">AG18*(1+$AJ18)</f>
        <v>1846.8559554452</v>
      </c>
      <c r="AO18" s="48" t="n">
        <f aca="false">((AK18*12)+(AL18*4)+(AM18*2)+AN18)/12</f>
        <v>1002.08942608234</v>
      </c>
      <c r="AP18" s="48" t="n">
        <f aca="false">AO18*$AP$6</f>
        <v>2641.87212330799</v>
      </c>
      <c r="AQ18" s="48" t="n">
        <f aca="false">AO18+AP18</f>
        <v>3643.96154939034</v>
      </c>
      <c r="AR18" s="71"/>
      <c r="AV18" s="73"/>
      <c r="AW18" s="73"/>
    </row>
    <row r="19" customFormat="false" ht="15" hidden="false" customHeight="true" outlineLevel="0" collapsed="false">
      <c r="B19" s="24" t="s">
        <v>142</v>
      </c>
      <c r="C19" s="66" t="n">
        <f aca="false">VLOOKUP($B19,Unidades!$D$5:$N$35,6,FALSE())</f>
        <v>1331.03</v>
      </c>
      <c r="D19" s="66" t="n">
        <f aca="false">VLOOKUP($B19,Unidades!$D$5:$N$35,7,FALSE())</f>
        <v>1145.6</v>
      </c>
      <c r="E19" s="66" t="n">
        <f aca="false">VLOOKUP($B19,Unidades!$D$5:$N$35,8,FALSE())</f>
        <v>185.43</v>
      </c>
      <c r="F19" s="66" t="n">
        <f aca="false">VLOOKUP($B19,Unidades!$D$5:$N$35,9,FALSE())</f>
        <v>0</v>
      </c>
      <c r="G19" s="66" t="n">
        <f aca="false">D19+$E$6*E19+$F$6*F19</f>
        <v>1210.5005</v>
      </c>
      <c r="H19" s="67" t="n">
        <f aca="false">IF(G19&lt;750,1.5,IF(G19&lt;2000,2,IF(G19&lt;4000,3,12)))</f>
        <v>2</v>
      </c>
      <c r="I19" s="67" t="n">
        <f aca="false">$I$6*H19</f>
        <v>2.4</v>
      </c>
      <c r="J19" s="67" t="str">
        <f aca="false">VLOOKUP($B19,Unidades!$D$5:$N$35,10,FALSE())</f>
        <v>SIM</v>
      </c>
      <c r="K19" s="67" t="str">
        <f aca="false">VLOOKUP($B19,Unidades!$D$5:$N$35,11,FALSE())</f>
        <v>NÃO</v>
      </c>
      <c r="L19" s="67" t="n">
        <f aca="false">$L$6*H19+(IF(J19="SIM",$J$6,0))</f>
        <v>4.2</v>
      </c>
      <c r="M19" s="67" t="n">
        <f aca="false">$M$6*H19+(IF(J19="SIM",$J$6,0))+(IF(K19="SIM",$K$6,0))</f>
        <v>4.2</v>
      </c>
      <c r="N19" s="67" t="n">
        <f aca="false">H19*12+I19*4+L19*2+M19</f>
        <v>46.2</v>
      </c>
      <c r="O19" s="68" t="n">
        <f aca="false">IF(K19="não", N19*(C$31+D$31),N19*(C$31+D$31)+(M19*+E$31))</f>
        <v>2261.9190132</v>
      </c>
      <c r="P19" s="69"/>
      <c r="Q19" s="24" t="str">
        <f aca="false">B19</f>
        <v>APS LAJEADO</v>
      </c>
      <c r="R19" s="26" t="n">
        <f aca="false">H19*($C$31+$D$31)</f>
        <v>97.918572</v>
      </c>
      <c r="S19" s="26" t="n">
        <f aca="false">I19*($C$31+$D$31)</f>
        <v>117.5022864</v>
      </c>
      <c r="T19" s="26" t="n">
        <f aca="false">L19*($C$31+$D$31)</f>
        <v>205.6290012</v>
      </c>
      <c r="U19" s="26" t="n">
        <f aca="false">IF(K19="não",M19*($C$31+$D$31),M19*(C$31+D$31+E$31))</f>
        <v>205.6290012</v>
      </c>
      <c r="V19" s="26" t="n">
        <f aca="false">VLOOKUP(Q19,'Desl. Base Novo Hamburgo'!$C$5:$S$25,13,FALSE())*($C$31+$D$31+$E$31*(VLOOKUP(Q19,'Desl. Base Novo Hamburgo'!$C$5:$S$25,17,FALSE())/12))</f>
        <v>82.2986413277778</v>
      </c>
      <c r="W19" s="26" t="n">
        <f aca="false">VLOOKUP(Q19,'Desl. Base Novo Hamburgo'!$C$5:$S$25,15,FALSE())*(2+(VLOOKUP(Q19,'Desl. Base Novo Hamburgo'!$C$5:$S$25,17,FALSE())/12))</f>
        <v>0</v>
      </c>
      <c r="X19" s="26" t="n">
        <f aca="false">VLOOKUP(Q19,'Desl. Base Novo Hamburgo'!$C$5:$Q$25,14,FALSE())</f>
        <v>12.75</v>
      </c>
      <c r="Y19" s="26" t="n">
        <f aca="false">VLOOKUP(Q19,'Desl. Base Novo Hamburgo'!$C$5:Q$25,13,FALSE())*'Desl. Base Novo Hamburgo'!$E$30+'Desl. Base Novo Hamburgo'!$E$31*N19/12</f>
        <v>108.802583333333</v>
      </c>
      <c r="Z19" s="26" t="n">
        <f aca="false">(H19/$AC$5)*'Equipe Técnica'!$C$13</f>
        <v>303.684498143413</v>
      </c>
      <c r="AA19" s="26" t="n">
        <f aca="false">(I19/$AC$5)*'Equipe Técnica'!$C$13</f>
        <v>364.421397772096</v>
      </c>
      <c r="AB19" s="26" t="n">
        <f aca="false">(L19/$AC$5)*'Equipe Técnica'!$C$13</f>
        <v>637.737446101167</v>
      </c>
      <c r="AC19" s="26" t="n">
        <f aca="false">(M19/$AC$5)*'Equipe Técnica'!$C$13</f>
        <v>637.737446101167</v>
      </c>
      <c r="AD19" s="26" t="n">
        <f aca="false">R19+(($V19+$W19+$X19+$Y19)*12/19)+$Z19</f>
        <v>530.351212034641</v>
      </c>
      <c r="AE19" s="26" t="n">
        <f aca="false">S19+(($V19+$W19+$X19+$Y19)*12/19)+$AA19</f>
        <v>610.671826063324</v>
      </c>
      <c r="AF19" s="26" t="n">
        <f aca="false">T19+(($V19+$W19+$X19+$Y19)*12/19)+$AB19</f>
        <v>972.114589192395</v>
      </c>
      <c r="AG19" s="26" t="n">
        <f aca="false">U19+(($V19+$W19+$X19+$Y19)*12/19)+$AC19</f>
        <v>972.114589192395</v>
      </c>
      <c r="AH19" s="136"/>
      <c r="AI19" s="24" t="str">
        <f aca="false">B19</f>
        <v>APS LAJEADO</v>
      </c>
      <c r="AJ19" s="70" t="n">
        <f aca="false">VLOOKUP(AI19,Unidades!D$5:H$35,5,)</f>
        <v>0.2778</v>
      </c>
      <c r="AK19" s="48" t="n">
        <f aca="false">AD19*(1+$AJ19)</f>
        <v>677.682778737864</v>
      </c>
      <c r="AL19" s="48" t="n">
        <f aca="false">AE19*(1+$AJ19)</f>
        <v>780.316459343715</v>
      </c>
      <c r="AM19" s="48" t="n">
        <f aca="false">AF19*(1+$AJ19)</f>
        <v>1242.16802207004</v>
      </c>
      <c r="AN19" s="48" t="n">
        <f aca="false">AG19*(1+$AJ19)</f>
        <v>1242.16802207004</v>
      </c>
      <c r="AO19" s="48" t="n">
        <f aca="false">((AK19*12)+(AL19*4)+(AM19*2)+AN19)/12</f>
        <v>1248.33027070328</v>
      </c>
      <c r="AP19" s="48" t="n">
        <f aca="false">AO19*$AP$6</f>
        <v>3291.0525318541</v>
      </c>
      <c r="AQ19" s="48" t="n">
        <f aca="false">AO19+AP19</f>
        <v>4539.38280255738</v>
      </c>
      <c r="AR19" s="71"/>
      <c r="AV19" s="73"/>
      <c r="AW19" s="73"/>
    </row>
    <row r="20" customFormat="false" ht="15" hidden="false" customHeight="true" outlineLevel="0" collapsed="false">
      <c r="B20" s="24" t="s">
        <v>143</v>
      </c>
      <c r="C20" s="66" t="n">
        <f aca="false">VLOOKUP($B20,Unidades!$D$5:$N$35,6,FALSE())</f>
        <v>1832.48</v>
      </c>
      <c r="D20" s="66" t="n">
        <f aca="false">VLOOKUP($B20,Unidades!$D$5:$N$35,7,FALSE())</f>
        <v>657.24</v>
      </c>
      <c r="E20" s="66" t="n">
        <f aca="false">VLOOKUP($B20,Unidades!$D$5:$N$35,8,FALSE())</f>
        <v>198.31</v>
      </c>
      <c r="F20" s="66" t="n">
        <f aca="false">VLOOKUP($B20,Unidades!$D$5:$N$35,9,FALSE())</f>
        <v>976.93</v>
      </c>
      <c r="G20" s="66" t="n">
        <f aca="false">D20+$E$6*E20+$F$6*F20</f>
        <v>824.3415</v>
      </c>
      <c r="H20" s="67" t="n">
        <f aca="false">IF(G20&lt;750,1.5,IF(G20&lt;2000,2,IF(G20&lt;4000,3,12)))</f>
        <v>2</v>
      </c>
      <c r="I20" s="67" t="n">
        <f aca="false">$I$6*H20</f>
        <v>2.4</v>
      </c>
      <c r="J20" s="67" t="str">
        <f aca="false">VLOOKUP($B20,Unidades!$D$5:$N$35,10,FALSE())</f>
        <v>SIM</v>
      </c>
      <c r="K20" s="67" t="str">
        <f aca="false">VLOOKUP($B20,Unidades!$D$5:$N$35,11,FALSE())</f>
        <v>SIM</v>
      </c>
      <c r="L20" s="67" t="n">
        <f aca="false">$L$6*H20+(IF(J20="SIM",$J$6,0))</f>
        <v>4.2</v>
      </c>
      <c r="M20" s="67" t="n">
        <f aca="false">$M$6*H20+(IF(J20="SIM",$J$6,0))+(IF(K20="SIM",$K$6,0))</f>
        <v>8.2</v>
      </c>
      <c r="N20" s="67" t="n">
        <f aca="false">H20*12+I20*4+L20*2+M20</f>
        <v>50.2</v>
      </c>
      <c r="O20" s="68" t="n">
        <f aca="false">IF(K20="não", N20*(C$31+D$31),N20*(C$31+D$31)+(M20*+E$31))</f>
        <v>2728.0281572</v>
      </c>
      <c r="P20" s="69"/>
      <c r="Q20" s="24" t="str">
        <f aca="false">B20</f>
        <v>APS Encantado</v>
      </c>
      <c r="R20" s="26" t="n">
        <f aca="false">H20*($C$31+$D$31)</f>
        <v>97.918572</v>
      </c>
      <c r="S20" s="26" t="n">
        <f aca="false">I20*($C$31+$D$31)</f>
        <v>117.5022864</v>
      </c>
      <c r="T20" s="26" t="n">
        <f aca="false">L20*($C$31+$D$31)</f>
        <v>205.6290012</v>
      </c>
      <c r="U20" s="26" t="n">
        <f aca="false">IF(K20="não",M20*($C$31+$D$31),M20*(C$31+D$31+E$31))</f>
        <v>671.7381452</v>
      </c>
      <c r="V20" s="26" t="n">
        <f aca="false">VLOOKUP(Q20,'Desl. Base Novo Hamburgo'!$C$5:$S$25,13,FALSE())*($C$31+$D$31+$E$31*(VLOOKUP(Q20,'Desl. Base Novo Hamburgo'!$C$5:$S$25,17,FALSE())/12))</f>
        <v>113.322212927778</v>
      </c>
      <c r="W20" s="26" t="n">
        <f aca="false">VLOOKUP(Q20,'Desl. Base Novo Hamburgo'!$C$5:$S$25,15,FALSE())*(2+(VLOOKUP(Q20,'Desl. Base Novo Hamburgo'!$C$5:$S$25,17,FALSE())/12))</f>
        <v>0</v>
      </c>
      <c r="X20" s="26" t="n">
        <f aca="false">VLOOKUP(Q20,'Desl. Base Novo Hamburgo'!$C$5:$Q$25,14,FALSE())</f>
        <v>12.75</v>
      </c>
      <c r="Y20" s="26" t="n">
        <f aca="false">VLOOKUP(Q20,'Desl. Base Novo Hamburgo'!$C$5:Q$25,13,FALSE())*'Desl. Base Novo Hamburgo'!$E$30+'Desl. Base Novo Hamburgo'!$E$31*N20/12</f>
        <v>142.48325</v>
      </c>
      <c r="Z20" s="26" t="n">
        <f aca="false">(H20/$AC$5)*'Equipe Técnica'!$C$13</f>
        <v>303.684498143413</v>
      </c>
      <c r="AA20" s="26" t="n">
        <f aca="false">(I20/$AC$5)*'Equipe Técnica'!$C$13</f>
        <v>364.421397772096</v>
      </c>
      <c r="AB20" s="26" t="n">
        <f aca="false">(L20/$AC$5)*'Equipe Técnica'!$C$13</f>
        <v>637.737446101167</v>
      </c>
      <c r="AC20" s="26" t="n">
        <f aca="false">(M20/$AC$5)*'Equipe Técnica'!$C$13</f>
        <v>1245.10644238799</v>
      </c>
      <c r="AD20" s="26" t="n">
        <f aca="false">R20+(($V20+$W20+$X20+$Y20)*12/19)+$Z20</f>
        <v>571.217046729378</v>
      </c>
      <c r="AE20" s="26" t="n">
        <f aca="false">S20+(($V20+$W20+$X20+$Y20)*12/19)+$AA20</f>
        <v>651.537660758061</v>
      </c>
      <c r="AF20" s="26" t="n">
        <f aca="false">T20+(($V20+$W20+$X20+$Y20)*12/19)+$AB20</f>
        <v>1012.98042388713</v>
      </c>
      <c r="AG20" s="26" t="n">
        <f aca="false">U20+(($V20+$W20+$X20+$Y20)*12/19)+$AC20</f>
        <v>2086.45856417396</v>
      </c>
      <c r="AH20" s="136"/>
      <c r="AI20" s="24" t="str">
        <f aca="false">B20</f>
        <v>APS Encantado</v>
      </c>
      <c r="AJ20" s="70" t="n">
        <f aca="false">VLOOKUP(AI20,Unidades!D$5:H$35,5,)</f>
        <v>0.2778</v>
      </c>
      <c r="AK20" s="48" t="n">
        <f aca="false">AD20*(1+$AJ20)</f>
        <v>729.901142310799</v>
      </c>
      <c r="AL20" s="48" t="n">
        <f aca="false">AE20*(1+$AJ20)</f>
        <v>832.53482291665</v>
      </c>
      <c r="AM20" s="48" t="n">
        <f aca="false">AF20*(1+$AJ20)</f>
        <v>1294.38638564298</v>
      </c>
      <c r="AN20" s="48" t="n">
        <f aca="false">AG20*(1+$AJ20)</f>
        <v>2666.07675330148</v>
      </c>
      <c r="AO20" s="48" t="n">
        <f aca="false">((AK20*12)+(AL20*4)+(AM20*2)+AN20)/12</f>
        <v>1445.31687699864</v>
      </c>
      <c r="AP20" s="48" t="n">
        <f aca="false">AO20*$AP$6</f>
        <v>3810.38085754186</v>
      </c>
      <c r="AQ20" s="48" t="n">
        <f aca="false">AO20+AP20</f>
        <v>5255.69773454049</v>
      </c>
      <c r="AR20" s="71"/>
      <c r="AS20" s="137"/>
      <c r="AT20" s="138"/>
      <c r="AU20" s="138"/>
      <c r="AV20" s="73"/>
      <c r="AW20" s="73"/>
    </row>
    <row r="21" s="139" customFormat="true" ht="15" hidden="false" customHeight="true" outlineLevel="0" collapsed="false">
      <c r="B21" s="24" t="s">
        <v>144</v>
      </c>
      <c r="C21" s="66" t="n">
        <f aca="false">VLOOKUP($B21,Unidades!$D$5:$N$35,6,FALSE())</f>
        <v>334.4</v>
      </c>
      <c r="D21" s="66" t="n">
        <f aca="false">VLOOKUP($B21,Unidades!$D$5:$N$35,7,FALSE())</f>
        <v>296</v>
      </c>
      <c r="E21" s="66" t="n">
        <f aca="false">VLOOKUP($B21,Unidades!$D$5:$N$35,8,FALSE())</f>
        <v>38.4</v>
      </c>
      <c r="F21" s="66" t="n">
        <f aca="false">VLOOKUP($B21,Unidades!$D$5:$N$35,9,FALSE())</f>
        <v>0</v>
      </c>
      <c r="G21" s="66" t="n">
        <f aca="false">D21+$E$6*E21+$F$6*F21</f>
        <v>309.44</v>
      </c>
      <c r="H21" s="67" t="n">
        <f aca="false">IF(G21&lt;750,1.5,IF(G21&lt;2000,2,IF(G21&lt;4000,3,12)))</f>
        <v>1.5</v>
      </c>
      <c r="I21" s="67" t="n">
        <f aca="false">$I$6*H21</f>
        <v>1.8</v>
      </c>
      <c r="J21" s="67" t="str">
        <f aca="false">VLOOKUP($B21,Unidades!$D$5:$N$35,10,FALSE())</f>
        <v>NÃO</v>
      </c>
      <c r="K21" s="67" t="str">
        <f aca="false">VLOOKUP($B21,Unidades!$D$5:$N$35,11,FALSE())</f>
        <v>NÃO</v>
      </c>
      <c r="L21" s="67" t="n">
        <f aca="false">$L$6*H21+(IF(J21="SIM",$J$6,0))</f>
        <v>1.65</v>
      </c>
      <c r="M21" s="67" t="n">
        <f aca="false">$M$6*H21+(IF(J21="SIM",$J$6,0))+(IF(K21="SIM",$K$6,0))</f>
        <v>1.65</v>
      </c>
      <c r="N21" s="67" t="n">
        <f aca="false">H21*12+I21*4+L21*2+M21</f>
        <v>30.15</v>
      </c>
      <c r="O21" s="68" t="n">
        <f aca="false">IF(K21="não", N21*(C$31+D$31),N21*(C$31+D$31)+(M21*+E$31))</f>
        <v>1476.1224729</v>
      </c>
      <c r="P21" s="69"/>
      <c r="Q21" s="24" t="str">
        <f aca="false">B21</f>
        <v>APS TEUTÔNIA</v>
      </c>
      <c r="R21" s="26" t="n">
        <f aca="false">H21*($C$31+$D$31)</f>
        <v>73.438929</v>
      </c>
      <c r="S21" s="26" t="n">
        <f aca="false">I21*($C$31+$D$31)</f>
        <v>88.1267148</v>
      </c>
      <c r="T21" s="26" t="n">
        <f aca="false">L21*($C$31+$D$31)</f>
        <v>80.7828219</v>
      </c>
      <c r="U21" s="26" t="n">
        <f aca="false">IF(K21="não",M21*($C$31+$D$31),M21*(C$31+D$31+E$31))</f>
        <v>80.7828219</v>
      </c>
      <c r="V21" s="26" t="n">
        <f aca="false">VLOOKUP(Q21,'Desl. Base Novo Hamburgo'!$C$5:$S$25,13,FALSE())*($C$31+$D$31+$E$31*(VLOOKUP(Q21,'Desl. Base Novo Hamburgo'!$C$5:$S$25,17,FALSE())/12))</f>
        <v>113.322212927778</v>
      </c>
      <c r="W21" s="26" t="n">
        <f aca="false">VLOOKUP(Q21,'Desl. Base Novo Hamburgo'!$C$5:$S$25,15,FALSE())*(2+(VLOOKUP(Q21,'Desl. Base Novo Hamburgo'!$C$5:$S$25,17,FALSE())/12))</f>
        <v>0</v>
      </c>
      <c r="X21" s="26" t="n">
        <f aca="false">VLOOKUP(Q21,'Desl. Base Novo Hamburgo'!$C$5:$Q$25,14,FALSE())</f>
        <v>12.75</v>
      </c>
      <c r="Y21" s="26" t="n">
        <f aca="false">VLOOKUP(Q21,'Desl. Base Novo Hamburgo'!$C$5:Q$25,13,FALSE())*'Desl. Base Novo Hamburgo'!$E$30+'Desl. Base Novo Hamburgo'!$E$31*N21/12</f>
        <v>131.522583333333</v>
      </c>
      <c r="Z21" s="26" t="n">
        <f aca="false">(H21/$AC$5)*'Equipe Técnica'!$C$13</f>
        <v>227.76337360756</v>
      </c>
      <c r="AA21" s="26" t="n">
        <f aca="false">(I21/$AC$5)*'Equipe Técnica'!$C$13</f>
        <v>273.316048329072</v>
      </c>
      <c r="AB21" s="26" t="n">
        <f aca="false">(L21/$AC$5)*'Equipe Técnica'!$C$13</f>
        <v>250.539710968316</v>
      </c>
      <c r="AC21" s="26" t="n">
        <f aca="false">(M21/$AC$5)*'Equipe Técnica'!$C$13</f>
        <v>250.539710968316</v>
      </c>
      <c r="AD21" s="26" t="n">
        <f aca="false">R21+(($V21+$W21+$X21+$Y21)*12/19)+$Z21</f>
        <v>463.893752877735</v>
      </c>
      <c r="AE21" s="26" t="n">
        <f aca="false">S21+(($V21+$W21+$X21+$Y21)*12/19)+$AA21</f>
        <v>524.134213399247</v>
      </c>
      <c r="AF21" s="26" t="n">
        <f aca="false">T21+(($V21+$W21+$X21+$Y21)*12/19)+$AB21</f>
        <v>494.013983138491</v>
      </c>
      <c r="AG21" s="26" t="n">
        <f aca="false">U21+(($V21+$W21+$X21+$Y21)*12/19)+$AC21</f>
        <v>494.013983138491</v>
      </c>
      <c r="AH21" s="136"/>
      <c r="AI21" s="24" t="str">
        <f aca="false">B21</f>
        <v>APS TEUTÔNIA</v>
      </c>
      <c r="AJ21" s="70" t="n">
        <f aca="false">VLOOKUP(AI21,Unidades!D$5:H$35,5,)</f>
        <v>0.2849</v>
      </c>
      <c r="AK21" s="48" t="n">
        <f aca="false">AD21*(1+$AJ21)</f>
        <v>596.057083072602</v>
      </c>
      <c r="AL21" s="48" t="n">
        <f aca="false">AE21*(1+$AJ21)</f>
        <v>673.460050796693</v>
      </c>
      <c r="AM21" s="48" t="n">
        <f aca="false">AF21*(1+$AJ21)</f>
        <v>634.758566934647</v>
      </c>
      <c r="AN21" s="48" t="n">
        <f aca="false">AG21*(1+$AJ21)</f>
        <v>634.758566934647</v>
      </c>
      <c r="AO21" s="48" t="n">
        <f aca="false">((AK21*12)+(AL21*4)+(AM21*2)+AN21)/12</f>
        <v>979.233408405161</v>
      </c>
      <c r="AP21" s="48" t="n">
        <f aca="false">AO21*$AP$6</f>
        <v>2581.61534943179</v>
      </c>
      <c r="AQ21" s="48" t="n">
        <f aca="false">AO21+AP21</f>
        <v>3560.84875783695</v>
      </c>
      <c r="AR21" s="71"/>
      <c r="AS21" s="137"/>
      <c r="AT21" s="138"/>
      <c r="AU21" s="138"/>
      <c r="AV21" s="73"/>
      <c r="AW21" s="73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</row>
    <row r="22" customFormat="false" ht="15" hidden="false" customHeight="true" outlineLevel="0" collapsed="false">
      <c r="B22" s="24" t="s">
        <v>145</v>
      </c>
      <c r="C22" s="66" t="n">
        <f aca="false">VLOOKUP($B22,Unidades!$D$5:$N$35,6,FALSE())</f>
        <v>1953.81</v>
      </c>
      <c r="D22" s="66" t="n">
        <f aca="false">VLOOKUP($B22,Unidades!$D$5:$N$35,7,FALSE())</f>
        <v>838.95</v>
      </c>
      <c r="E22" s="66" t="n">
        <f aca="false">VLOOKUP($B22,Unidades!$D$5:$N$35,8,FALSE())</f>
        <v>565.28</v>
      </c>
      <c r="F22" s="66" t="n">
        <f aca="false">VLOOKUP($B22,Unidades!$D$5:$N$35,9,FALSE())</f>
        <v>549.58</v>
      </c>
      <c r="G22" s="66" t="n">
        <f aca="false">D22+$E$6*E22+$F$6*F22</f>
        <v>1091.756</v>
      </c>
      <c r="H22" s="67" t="n">
        <f aca="false">IF(G22&lt;750,1.5,IF(G22&lt;2000,2,IF(G22&lt;4000,3,12)))</f>
        <v>2</v>
      </c>
      <c r="I22" s="67" t="n">
        <f aca="false">$I$6*H22</f>
        <v>2.4</v>
      </c>
      <c r="J22" s="67" t="str">
        <f aca="false">VLOOKUP($B22,Unidades!$D$5:$N$35,10,FALSE())</f>
        <v>NÃO</v>
      </c>
      <c r="K22" s="67" t="str">
        <f aca="false">VLOOKUP($B22,Unidades!$D$5:$N$35,11,FALSE())</f>
        <v>SIM</v>
      </c>
      <c r="L22" s="67" t="n">
        <f aca="false">$L$6*H22+(IF(J22="SIM",$J$6,0))</f>
        <v>2.2</v>
      </c>
      <c r="M22" s="67" t="n">
        <f aca="false">$M$6*H22+(IF(J22="SIM",$J$6,0))+(IF(K22="SIM",$K$6,0))</f>
        <v>6.2</v>
      </c>
      <c r="N22" s="67" t="n">
        <f aca="false">H22*12+I22*4+L22*2+M22</f>
        <v>44.2</v>
      </c>
      <c r="O22" s="68" t="n">
        <f aca="false">IF(K22="não", N22*(C$31+D$31),N22*(C$31+D$31)+(M22*+E$31))</f>
        <v>2368.3524412</v>
      </c>
      <c r="P22" s="69"/>
      <c r="Q22" s="24" t="str">
        <f aca="false">B22</f>
        <v>APS TAQUARA</v>
      </c>
      <c r="R22" s="26" t="n">
        <f aca="false">H22*($C$31+$D$31)</f>
        <v>97.918572</v>
      </c>
      <c r="S22" s="26" t="n">
        <f aca="false">I22*($C$31+$D$31)</f>
        <v>117.5022864</v>
      </c>
      <c r="T22" s="26" t="n">
        <f aca="false">L22*($C$31+$D$31)</f>
        <v>107.7104292</v>
      </c>
      <c r="U22" s="26" t="n">
        <f aca="false">IF(K22="não",M22*($C$31+$D$31),M22*(C$31+D$31+E$31))</f>
        <v>507.8995732</v>
      </c>
      <c r="V22" s="26" t="n">
        <f aca="false">VLOOKUP(Q22,'Desl. Base Novo Hamburgo'!$C$5:$S$25,13,FALSE())*($C$31+$D$31+$E$31*(VLOOKUP(Q22,'Desl. Base Novo Hamburgo'!$C$5:$S$25,17,FALSE())/12))</f>
        <v>66.7868555277778</v>
      </c>
      <c r="W22" s="26" t="n">
        <f aca="false">VLOOKUP(Q22,'Desl. Base Novo Hamburgo'!$C$5:$S$25,15,FALSE())*(2+(VLOOKUP(Q22,'Desl. Base Novo Hamburgo'!$C$5:$S$25,17,FALSE())/12))</f>
        <v>0</v>
      </c>
      <c r="X22" s="26" t="n">
        <f aca="false">VLOOKUP(Q22,'Desl. Base Novo Hamburgo'!$C$5:$Q$25,14,FALSE())</f>
        <v>9.55</v>
      </c>
      <c r="Y22" s="26" t="n">
        <f aca="false">VLOOKUP(Q22,'Desl. Base Novo Hamburgo'!$C$5:Q$25,13,FALSE())*'Desl. Base Novo Hamburgo'!$E$30+'Desl. Base Novo Hamburgo'!$E$31*N22/12</f>
        <v>91.96225</v>
      </c>
      <c r="Z22" s="26" t="n">
        <f aca="false">(H22/$AC$5)*'Equipe Técnica'!$C$13</f>
        <v>303.684498143413</v>
      </c>
      <c r="AA22" s="26" t="n">
        <f aca="false">(I22/$AC$5)*'Equipe Técnica'!$C$13</f>
        <v>364.421397772096</v>
      </c>
      <c r="AB22" s="26" t="n">
        <f aca="false">(L22/$AC$5)*'Equipe Técnica'!$C$13</f>
        <v>334.052947957754</v>
      </c>
      <c r="AC22" s="26" t="n">
        <f aca="false">(M22/$AC$5)*'Equipe Técnica'!$C$13</f>
        <v>941.42194424458</v>
      </c>
      <c r="AD22" s="26" t="n">
        <f aca="false">R22+(($V22+$W22+$X22+$Y22)*12/19)+$Z22</f>
        <v>507.897242055694</v>
      </c>
      <c r="AE22" s="26" t="n">
        <f aca="false">S22+(($V22+$W22+$X22+$Y22)*12/19)+$AA22</f>
        <v>588.217856084376</v>
      </c>
      <c r="AF22" s="26" t="n">
        <f aca="false">T22+(($V22+$W22+$X22+$Y22)*12/19)+$AB22</f>
        <v>548.057549070035</v>
      </c>
      <c r="AG22" s="26" t="n">
        <f aca="false">U22+(($V22+$W22+$X22+$Y22)*12/19)+$AC22</f>
        <v>1555.61568935686</v>
      </c>
      <c r="AH22" s="136"/>
      <c r="AI22" s="24" t="str">
        <f aca="false">B22</f>
        <v>APS TAQUARA</v>
      </c>
      <c r="AJ22" s="70" t="n">
        <f aca="false">VLOOKUP(AI22,Unidades!D$5:H$35,5,)</f>
        <v>0.2849</v>
      </c>
      <c r="AK22" s="48" t="n">
        <f aca="false">AD22*(1+$AJ22)</f>
        <v>652.597166317361</v>
      </c>
      <c r="AL22" s="48" t="n">
        <f aca="false">AE22*(1+$AJ22)</f>
        <v>755.801123282815</v>
      </c>
      <c r="AM22" s="48" t="n">
        <f aca="false">AF22*(1+$AJ22)</f>
        <v>704.199144800088</v>
      </c>
      <c r="AN22" s="48" t="n">
        <f aca="false">AG22*(1+$AJ22)</f>
        <v>1998.81059925463</v>
      </c>
      <c r="AO22" s="48" t="n">
        <f aca="false">((AK22*12)+(AL22*4)+(AM22*2)+AN22)/12</f>
        <v>1188.46494814953</v>
      </c>
      <c r="AP22" s="48" t="n">
        <f aca="false">AO22*$AP$6</f>
        <v>3133.22577239422</v>
      </c>
      <c r="AQ22" s="48" t="n">
        <f aca="false">AO22+AP22</f>
        <v>4321.69072054376</v>
      </c>
      <c r="AR22" s="71"/>
      <c r="AV22" s="73"/>
      <c r="AW22" s="73"/>
    </row>
    <row r="23" customFormat="false" ht="15" hidden="false" customHeight="true" outlineLevel="0" collapsed="false">
      <c r="B23" s="24" t="s">
        <v>146</v>
      </c>
      <c r="C23" s="66" t="n">
        <f aca="false">VLOOKUP($B23,Unidades!$D$5:$N$35,6,FALSE())</f>
        <v>357.46</v>
      </c>
      <c r="D23" s="66" t="n">
        <f aca="false">VLOOKUP($B23,Unidades!$D$5:$N$35,7,FALSE())</f>
        <v>307.46</v>
      </c>
      <c r="E23" s="66" t="n">
        <f aca="false">VLOOKUP($B23,Unidades!$D$5:$N$35,8,FALSE())</f>
        <v>50</v>
      </c>
      <c r="F23" s="66" t="n">
        <f aca="false">VLOOKUP($B23,Unidades!$D$5:$N$35,9,FALSE())</f>
        <v>0</v>
      </c>
      <c r="G23" s="66" t="n">
        <f aca="false">D23+$E$6*E23+$F$6*F23</f>
        <v>324.96</v>
      </c>
      <c r="H23" s="67" t="n">
        <f aca="false">IF(G23&lt;750,1.5,IF(G23&lt;2000,2,IF(G23&lt;4000,3,12)))</f>
        <v>1.5</v>
      </c>
      <c r="I23" s="67" t="n">
        <f aca="false">$I$6*H23</f>
        <v>1.8</v>
      </c>
      <c r="J23" s="67" t="str">
        <f aca="false">VLOOKUP($B23,Unidades!$D$5:$N$35,10,FALSE())</f>
        <v>NÃO</v>
      </c>
      <c r="K23" s="67" t="str">
        <f aca="false">VLOOKUP($B23,Unidades!$D$5:$N$35,11,FALSE())</f>
        <v>NÃO</v>
      </c>
      <c r="L23" s="67" t="n">
        <f aca="false">$L$6*H23+(IF(J23="SIM",$J$6,0))</f>
        <v>1.65</v>
      </c>
      <c r="M23" s="67" t="n">
        <f aca="false">$M$6*H23+(IF(J23="SIM",$J$6,0))+(IF(K23="SIM",$K$6,0))</f>
        <v>1.65</v>
      </c>
      <c r="N23" s="67" t="n">
        <f aca="false">H23*12+I23*4+L23*2+M23</f>
        <v>30.15</v>
      </c>
      <c r="O23" s="68" t="n">
        <f aca="false">IF(K23="não", N23*(C$31+D$31),N23*(C$31+D$31)+(M23*+E$31))</f>
        <v>1476.1224729</v>
      </c>
      <c r="P23" s="69"/>
      <c r="Q23" s="24" t="str">
        <f aca="false">B23</f>
        <v>APS SANTO ANTÔNIO DA PATRULHA</v>
      </c>
      <c r="R23" s="26" t="n">
        <f aca="false">H23*($C$31+$D$31)</f>
        <v>73.438929</v>
      </c>
      <c r="S23" s="26" t="n">
        <f aca="false">I23*($C$31+$D$31)</f>
        <v>88.1267148</v>
      </c>
      <c r="T23" s="26" t="n">
        <f aca="false">L23*($C$31+$D$31)</f>
        <v>80.7828219</v>
      </c>
      <c r="U23" s="26" t="n">
        <f aca="false">IF(K23="não",M23*($C$31+$D$31),M23*(C$31+D$31+E$31))</f>
        <v>80.7828219</v>
      </c>
      <c r="V23" s="26" t="n">
        <f aca="false">VLOOKUP(Q23,'Desl. Base Novo Hamburgo'!$C$5:$S$25,13,FALSE())*($C$31+$D$31+$E$31*(VLOOKUP(Q23,'Desl. Base Novo Hamburgo'!$C$5:$S$25,17,FALSE())/12))</f>
        <v>66.7868555277778</v>
      </c>
      <c r="W23" s="26" t="n">
        <f aca="false">VLOOKUP(Q23,'Desl. Base Novo Hamburgo'!$C$5:$S$25,15,FALSE())*(2+(VLOOKUP(Q23,'Desl. Base Novo Hamburgo'!$C$5:$S$25,17,FALSE())/12))</f>
        <v>0</v>
      </c>
      <c r="X23" s="26" t="n">
        <f aca="false">VLOOKUP(Q23,'Desl. Base Novo Hamburgo'!$C$5:$Q$25,14,FALSE())</f>
        <v>9.55</v>
      </c>
      <c r="Y23" s="26" t="n">
        <f aca="false">VLOOKUP(Q23,'Desl. Base Novo Hamburgo'!$C$5:Q$25,13,FALSE())*'Desl. Base Novo Hamburgo'!$E$30+'Desl. Base Novo Hamburgo'!$E$31*N23/12</f>
        <v>84.2815833333333</v>
      </c>
      <c r="Z23" s="26" t="n">
        <f aca="false">(H23/$AC$5)*'Equipe Técnica'!$C$13</f>
        <v>227.76337360756</v>
      </c>
      <c r="AA23" s="26" t="n">
        <f aca="false">(I23/$AC$5)*'Equipe Técnica'!$C$13</f>
        <v>273.316048329072</v>
      </c>
      <c r="AB23" s="26" t="n">
        <f aca="false">(L23/$AC$5)*'Equipe Técnica'!$C$13</f>
        <v>250.539710968316</v>
      </c>
      <c r="AC23" s="26" t="n">
        <f aca="false">(M23/$AC$5)*'Equipe Técnica'!$C$13</f>
        <v>250.539710968316</v>
      </c>
      <c r="AD23" s="26" t="n">
        <f aca="false">R23+(($V23+$W23+$X23+$Y23)*12/19)+$Z23</f>
        <v>402.645527151419</v>
      </c>
      <c r="AE23" s="26" t="n">
        <f aca="false">S23+(($V23+$W23+$X23+$Y23)*12/19)+$AA23</f>
        <v>462.885987672931</v>
      </c>
      <c r="AF23" s="26" t="n">
        <f aca="false">T23+(($V23+$W23+$X23+$Y23)*12/19)+$AB23</f>
        <v>432.765757412175</v>
      </c>
      <c r="AG23" s="26" t="n">
        <f aca="false">U23+(($V23+$W23+$X23+$Y23)*12/19)+$AC23</f>
        <v>432.765757412175</v>
      </c>
      <c r="AH23" s="136"/>
      <c r="AI23" s="24" t="str">
        <f aca="false">B23</f>
        <v>APS SANTO ANTÔNIO DA PATRULHA</v>
      </c>
      <c r="AJ23" s="70" t="n">
        <f aca="false">VLOOKUP(AI23,Unidades!D$5:H$35,5,)</f>
        <v>0.2994</v>
      </c>
      <c r="AK23" s="48" t="n">
        <f aca="false">AD23*(1+$AJ23)</f>
        <v>523.197597980554</v>
      </c>
      <c r="AL23" s="48" t="n">
        <f aca="false">AE23*(1+$AJ23)</f>
        <v>601.474052382207</v>
      </c>
      <c r="AM23" s="48" t="n">
        <f aca="false">AF23*(1+$AJ23)</f>
        <v>562.335825181381</v>
      </c>
      <c r="AN23" s="48" t="n">
        <f aca="false">AG23*(1+$AJ23)</f>
        <v>562.335825181381</v>
      </c>
      <c r="AO23" s="48" t="n">
        <f aca="false">((AK23*12)+(AL23*4)+(AM23*2)+AN23)/12</f>
        <v>864.272905069969</v>
      </c>
      <c r="AP23" s="48" t="n">
        <f aca="false">AO23*$AP$6</f>
        <v>2278.53765882083</v>
      </c>
      <c r="AQ23" s="48" t="n">
        <f aca="false">AO23+AP23</f>
        <v>3142.81056389079</v>
      </c>
      <c r="AR23" s="71"/>
      <c r="AV23" s="71"/>
      <c r="AW23" s="71"/>
    </row>
    <row r="24" customFormat="false" ht="15" hidden="false" customHeight="true" outlineLevel="0" collapsed="false">
      <c r="B24" s="24" t="s">
        <v>147</v>
      </c>
      <c r="C24" s="66" t="n">
        <f aca="false">VLOOKUP($B24,Unidades!$D$5:$N$35,6,FALSE())</f>
        <v>2644.69</v>
      </c>
      <c r="D24" s="66" t="n">
        <f aca="false">VLOOKUP($B24,Unidades!$D$5:$N$35,7,FALSE())</f>
        <v>837.46</v>
      </c>
      <c r="E24" s="66" t="n">
        <f aca="false">VLOOKUP($B24,Unidades!$D$5:$N$35,8,FALSE())</f>
        <v>775.81</v>
      </c>
      <c r="F24" s="66" t="n">
        <f aca="false">VLOOKUP($B24,Unidades!$D$5:$N$35,9,FALSE())</f>
        <v>1031.42</v>
      </c>
      <c r="G24" s="66" t="n">
        <f aca="false">D24+$E$6*E24+$F$6*F24</f>
        <v>1212.1355</v>
      </c>
      <c r="H24" s="67" t="n">
        <f aca="false">IF(G24&lt;750,1.5,IF(G24&lt;2000,2,IF(G24&lt;4000,3,12)))</f>
        <v>2</v>
      </c>
      <c r="I24" s="67" t="n">
        <f aca="false">$I$6*H24</f>
        <v>2.4</v>
      </c>
      <c r="J24" s="67" t="str">
        <f aca="false">VLOOKUP($B24,Unidades!$D$5:$N$35,10,FALSE())</f>
        <v>SIM</v>
      </c>
      <c r="K24" s="67" t="str">
        <f aca="false">VLOOKUP($B24,Unidades!$D$5:$N$35,11,FALSE())</f>
        <v>SIM</v>
      </c>
      <c r="L24" s="67" t="n">
        <f aca="false">$L$6*H24+(IF(J24="SIM",$J$6,0))</f>
        <v>4.2</v>
      </c>
      <c r="M24" s="67" t="n">
        <f aca="false">$M$6*H24+(IF(J24="SIM",$J$6,0))+(IF(K24="SIM",$K$6,0))</f>
        <v>8.2</v>
      </c>
      <c r="N24" s="67" t="n">
        <f aca="false">H24*12+I24*4+L24*2+M24</f>
        <v>50.2</v>
      </c>
      <c r="O24" s="68" t="n">
        <f aca="false">IF(K24="não", N24*(C$31+D$31),N24*(C$31+D$31)+(M24*+E$31))</f>
        <v>2728.0281572</v>
      </c>
      <c r="P24" s="69"/>
      <c r="Q24" s="24" t="str">
        <f aca="false">B24</f>
        <v>APS OSÓRIO</v>
      </c>
      <c r="R24" s="26" t="n">
        <f aca="false">H24*($C$31+$D$31)</f>
        <v>97.918572</v>
      </c>
      <c r="S24" s="26" t="n">
        <f aca="false">I24*($C$31+$D$31)</f>
        <v>117.5022864</v>
      </c>
      <c r="T24" s="26" t="n">
        <f aca="false">L24*($C$31+$D$31)</f>
        <v>205.6290012</v>
      </c>
      <c r="U24" s="26" t="n">
        <f aca="false">IF(K24="não",M24*($C$31+$D$31),M24*(C$31+D$31+E$31))</f>
        <v>671.7381452</v>
      </c>
      <c r="V24" s="26" t="n">
        <f aca="false">VLOOKUP(Q24,'Desl. Base Novo Hamburgo'!$C$5:$S$25,13,FALSE())*($C$31+$D$31+$E$31*(VLOOKUP(Q24,'Desl. Base Novo Hamburgo'!$C$5:$S$25,17,FALSE())/12))</f>
        <v>152.532560366667</v>
      </c>
      <c r="W24" s="26" t="n">
        <f aca="false">VLOOKUP(Q24,'Desl. Base Novo Hamburgo'!$C$5:$S$25,15,FALSE())*(2+(VLOOKUP(Q24,'Desl. Base Novo Hamburgo'!$C$5:$S$25,17,FALSE())/12))</f>
        <v>0</v>
      </c>
      <c r="X24" s="26" t="n">
        <f aca="false">VLOOKUP(Q24,'Desl. Base Novo Hamburgo'!$C$5:$Q$25,14,FALSE())</f>
        <v>22</v>
      </c>
      <c r="Y24" s="26" t="n">
        <f aca="false">VLOOKUP(Q24,'Desl. Base Novo Hamburgo'!$C$5:Q$25,13,FALSE())*'Desl. Base Novo Hamburgo'!$E$30+'Desl. Base Novo Hamburgo'!$E$31*N24/12</f>
        <v>182.288166666667</v>
      </c>
      <c r="Z24" s="26" t="n">
        <f aca="false">(H24/$AC$5)*'Equipe Técnica'!$C$13</f>
        <v>303.684498143413</v>
      </c>
      <c r="AA24" s="26" t="n">
        <f aca="false">(I24/$AC$5)*'Equipe Técnica'!$C$13</f>
        <v>364.421397772096</v>
      </c>
      <c r="AB24" s="26" t="n">
        <f aca="false">(L24/$AC$5)*'Equipe Técnica'!$C$13</f>
        <v>637.737446101167</v>
      </c>
      <c r="AC24" s="26" t="n">
        <f aca="false">(M24/$AC$5)*'Equipe Técnica'!$C$13</f>
        <v>1245.10644238799</v>
      </c>
      <c r="AD24" s="26" t="n">
        <f aca="false">R24+(($V24+$W24+$X24+$Y24)*12/19)+$Z24</f>
        <v>626.963529322361</v>
      </c>
      <c r="AE24" s="26" t="n">
        <f aca="false">S24+(($V24+$W24+$X24+$Y24)*12/19)+$AA24</f>
        <v>707.284143351043</v>
      </c>
      <c r="AF24" s="26" t="n">
        <f aca="false">T24+(($V24+$W24+$X24+$Y24)*12/19)+$AB24</f>
        <v>1068.72690648011</v>
      </c>
      <c r="AG24" s="26" t="n">
        <f aca="false">U24+(($V24+$W24+$X24+$Y24)*12/19)+$AC24</f>
        <v>2142.20504676694</v>
      </c>
      <c r="AH24" s="136"/>
      <c r="AI24" s="24" t="str">
        <f aca="false">B24</f>
        <v>APS OSÓRIO</v>
      </c>
      <c r="AJ24" s="70" t="n">
        <f aca="false">VLOOKUP(AI24,Unidades!D$5:H$35,5,)</f>
        <v>0.2707</v>
      </c>
      <c r="AK24" s="48" t="n">
        <f aca="false">AD24*(1+$AJ24)</f>
        <v>796.682556709924</v>
      </c>
      <c r="AL24" s="48" t="n">
        <f aca="false">AE24*(1+$AJ24)</f>
        <v>898.74596095617</v>
      </c>
      <c r="AM24" s="48" t="n">
        <f aca="false">AF24*(1+$AJ24)</f>
        <v>1358.03128006428</v>
      </c>
      <c r="AN24" s="48" t="n">
        <f aca="false">AG24*(1+$AJ24)</f>
        <v>2722.09995292675</v>
      </c>
      <c r="AO24" s="48" t="n">
        <f aca="false">((AK24*12)+(AL24*4)+(AM24*2)+AN24)/12</f>
        <v>1549.44475311659</v>
      </c>
      <c r="AP24" s="48" t="n">
        <f aca="false">AO24*$AP$6</f>
        <v>4084.89980367101</v>
      </c>
      <c r="AQ24" s="48" t="n">
        <f aca="false">AO24+AP24</f>
        <v>5634.3445567876</v>
      </c>
      <c r="AR24" s="71"/>
      <c r="AV24" s="73"/>
      <c r="AW24" s="73"/>
    </row>
    <row r="25" customFormat="false" ht="15" hidden="false" customHeight="true" outlineLevel="0" collapsed="false">
      <c r="B25" s="24" t="s">
        <v>148</v>
      </c>
      <c r="C25" s="66" t="n">
        <f aca="false">VLOOKUP($B25,Unidades!$D$5:$N$35,6,FALSE())</f>
        <v>1097.56</v>
      </c>
      <c r="D25" s="66" t="n">
        <f aca="false">VLOOKUP($B25,Unidades!$D$5:$N$35,7,FALSE())</f>
        <v>460.43</v>
      </c>
      <c r="E25" s="66" t="n">
        <f aca="false">VLOOKUP($B25,Unidades!$D$5:$N$35,8,FALSE())</f>
        <v>428.32</v>
      </c>
      <c r="F25" s="66" t="n">
        <f aca="false">VLOOKUP($B25,Unidades!$D$5:$N$35,9,FALSE())</f>
        <v>208.81</v>
      </c>
      <c r="G25" s="66" t="n">
        <f aca="false">D25+$E$6*E25+$F$6*F25</f>
        <v>631.223</v>
      </c>
      <c r="H25" s="67" t="n">
        <f aca="false">IF(G25&lt;750,1.5,IF(G25&lt;2000,2,IF(G25&lt;4000,3,12)))</f>
        <v>1.5</v>
      </c>
      <c r="I25" s="67" t="n">
        <f aca="false">$I$6*H25</f>
        <v>1.8</v>
      </c>
      <c r="J25" s="67" t="str">
        <f aca="false">VLOOKUP($B25,Unidades!$D$5:$N$35,10,FALSE())</f>
        <v>NÃO</v>
      </c>
      <c r="K25" s="67" t="str">
        <f aca="false">VLOOKUP($B25,Unidades!$D$5:$N$35,11,FALSE())</f>
        <v>SIM</v>
      </c>
      <c r="L25" s="67" t="n">
        <f aca="false">$L$6*H25+(IF(J25="SIM",$J$6,0))</f>
        <v>1.65</v>
      </c>
      <c r="M25" s="67" t="n">
        <f aca="false">$M$6*H25+(IF(J25="SIM",$J$6,0))+(IF(K25="SIM",$K$6,0))</f>
        <v>5.65</v>
      </c>
      <c r="N25" s="67" t="n">
        <f aca="false">H25*12+I25*4+L25*2+M25</f>
        <v>34.15</v>
      </c>
      <c r="O25" s="68" t="n">
        <f aca="false">IF(K25="não", N25*(C$31+D$31),N25*(C$31+D$31)+(M25*+E$31))</f>
        <v>1858.1836169</v>
      </c>
      <c r="P25" s="69"/>
      <c r="Q25" s="24" t="str">
        <f aca="false">B25</f>
        <v>APS BUTIÁ</v>
      </c>
      <c r="R25" s="26" t="n">
        <f aca="false">H25*($C$31+$D$31)</f>
        <v>73.438929</v>
      </c>
      <c r="S25" s="26" t="n">
        <f aca="false">I25*($C$31+$D$31)</f>
        <v>88.1267148</v>
      </c>
      <c r="T25" s="26" t="n">
        <f aca="false">L25*($C$31+$D$31)</f>
        <v>80.7828219</v>
      </c>
      <c r="U25" s="26" t="n">
        <f aca="false">IF(K25="não",M25*($C$31+$D$31),M25*(C$31+D$31+E$31))</f>
        <v>462.8439659</v>
      </c>
      <c r="V25" s="26" t="n">
        <f aca="false">VLOOKUP(Q25,'Desl. Base Novo Hamburgo'!$C$5:$S$25,13,FALSE())*($C$31+$D$31+$E$31*(VLOOKUP(Q25,'Desl. Base Novo Hamburgo'!$C$5:$S$25,17,FALSE())/12))</f>
        <v>97.3795441888889</v>
      </c>
      <c r="W25" s="26" t="n">
        <f aca="false">VLOOKUP(Q25,'Desl. Base Novo Hamburgo'!$C$5:$S$25,15,FALSE())*(2+(VLOOKUP(Q25,'Desl. Base Novo Hamburgo'!$C$5:$S$25,17,FALSE())/12))</f>
        <v>0</v>
      </c>
      <c r="X25" s="26" t="n">
        <f aca="false">VLOOKUP(Q25,'Desl. Base Novo Hamburgo'!$C$5:$Q$25,14,FALSE())</f>
        <v>0</v>
      </c>
      <c r="Y25" s="26" t="n">
        <f aca="false">VLOOKUP(Q25,'Desl. Base Novo Hamburgo'!$C$5:Q$25,13,FALSE())*'Desl. Base Novo Hamburgo'!$E$30+'Desl. Base Novo Hamburgo'!$E$31*N25/12</f>
        <v>117.524833333333</v>
      </c>
      <c r="Z25" s="26" t="n">
        <f aca="false">(H25/$AC$5)*'Equipe Técnica'!$C$13</f>
        <v>227.76337360756</v>
      </c>
      <c r="AA25" s="26" t="n">
        <f aca="false">(I25/$AC$5)*'Equipe Técnica'!$C$13</f>
        <v>273.316048329072</v>
      </c>
      <c r="AB25" s="26" t="n">
        <f aca="false">(L25/$AC$5)*'Equipe Técnica'!$C$13</f>
        <v>250.539710968316</v>
      </c>
      <c r="AC25" s="26" t="n">
        <f aca="false">(M25/$AC$5)*'Equipe Técnica'!$C$13</f>
        <v>857.908707255142</v>
      </c>
      <c r="AD25" s="26" t="n">
        <f aca="false">R25+(($V25+$W25+$X25+$Y25)*12/19)+$Z25</f>
        <v>436.931383147911</v>
      </c>
      <c r="AE25" s="26" t="n">
        <f aca="false">S25+(($V25+$W25+$X25+$Y25)*12/19)+$AA25</f>
        <v>497.171843669423</v>
      </c>
      <c r="AF25" s="26" t="n">
        <f aca="false">T25+(($V25+$W25+$X25+$Y25)*12/19)+$AB25</f>
        <v>467.051613408667</v>
      </c>
      <c r="AG25" s="26" t="n">
        <f aca="false">U25+(($V25+$W25+$X25+$Y25)*12/19)+$AC25</f>
        <v>1456.48175369549</v>
      </c>
      <c r="AH25" s="136"/>
      <c r="AI25" s="24" t="str">
        <f aca="false">B25</f>
        <v>APS BUTIÁ</v>
      </c>
      <c r="AJ25" s="70" t="n">
        <f aca="false">VLOOKUP(AI25,Unidades!D$5:H$35,5,)</f>
        <v>0.2849</v>
      </c>
      <c r="AK25" s="48" t="n">
        <f aca="false">AD25*(1+$AJ25)</f>
        <v>561.41313420675</v>
      </c>
      <c r="AL25" s="48" t="n">
        <f aca="false">AE25*(1+$AJ25)</f>
        <v>638.816101930841</v>
      </c>
      <c r="AM25" s="48" t="n">
        <f aca="false">AF25*(1+$AJ25)</f>
        <v>600.114618068796</v>
      </c>
      <c r="AN25" s="48" t="n">
        <f aca="false">AG25*(1+$AJ25)</f>
        <v>1871.43340532334</v>
      </c>
      <c r="AO25" s="48" t="n">
        <f aca="false">((AK25*12)+(AL25*4)+(AM25*2)+AN25)/12</f>
        <v>1030.32372163878</v>
      </c>
      <c r="AP25" s="48" t="n">
        <f aca="false">AO25*$AP$6</f>
        <v>2716.30799341132</v>
      </c>
      <c r="AQ25" s="48" t="n">
        <f aca="false">AO25+AP25</f>
        <v>3746.63171505009</v>
      </c>
      <c r="AR25" s="71"/>
      <c r="AV25" s="73"/>
      <c r="AW25" s="73"/>
    </row>
    <row r="26" customFormat="false" ht="15" hidden="false" customHeight="true" outlineLevel="0" collapsed="false">
      <c r="B26" s="24" t="s">
        <v>149</v>
      </c>
      <c r="C26" s="66" t="n">
        <f aca="false">VLOOKUP($B26,Unidades!$D$5:$N$35,6,FALSE())</f>
        <v>1460.23</v>
      </c>
      <c r="D26" s="66" t="n">
        <f aca="false">VLOOKUP($B26,Unidades!$D$5:$N$35,7,FALSE())</f>
        <v>628.98</v>
      </c>
      <c r="E26" s="66" t="n">
        <f aca="false">VLOOKUP($B26,Unidades!$D$5:$N$35,8,FALSE())</f>
        <v>552.14</v>
      </c>
      <c r="F26" s="66" t="n">
        <f aca="false">VLOOKUP($B26,Unidades!$D$5:$N$35,9,FALSE())</f>
        <v>279.11</v>
      </c>
      <c r="G26" s="66" t="n">
        <f aca="false">D26+$E$6*E26+$F$6*F26</f>
        <v>850.14</v>
      </c>
      <c r="H26" s="67" t="n">
        <f aca="false">IF(G26&lt;750,1.5,IF(G26&lt;2000,2,IF(G26&lt;4000,3,12)))</f>
        <v>2</v>
      </c>
      <c r="I26" s="67" t="n">
        <f aca="false">$I$6*H26</f>
        <v>2.4</v>
      </c>
      <c r="J26" s="67" t="str">
        <f aca="false">VLOOKUP($B26,Unidades!$D$5:$N$35,10,FALSE())</f>
        <v>NÃO</v>
      </c>
      <c r="K26" s="67" t="str">
        <f aca="false">VLOOKUP($B26,Unidades!$D$5:$N$35,11,FALSE())</f>
        <v>SIM</v>
      </c>
      <c r="L26" s="67" t="n">
        <f aca="false">$L$6*H26+(IF(J26="SIM",$J$6,0))</f>
        <v>2.2</v>
      </c>
      <c r="M26" s="67" t="n">
        <f aca="false">$M$6*H26+(IF(J26="SIM",$J$6,0))+(IF(K26="SIM",$K$6,0))</f>
        <v>6.2</v>
      </c>
      <c r="N26" s="67" t="n">
        <f aca="false">H26*12+I26*4+L26*2+M26</f>
        <v>44.2</v>
      </c>
      <c r="O26" s="68" t="n">
        <f aca="false">IF(K26="não", N26*(C$31+D$31),N26*(C$31+D$31)+(M26*+E$31))</f>
        <v>2368.3524412</v>
      </c>
      <c r="P26" s="69"/>
      <c r="Q26" s="24" t="str">
        <f aca="false">B26</f>
        <v>APS SÃO JERÔNIMO</v>
      </c>
      <c r="R26" s="26" t="n">
        <f aca="false">H26*($C$31+$D$31)</f>
        <v>97.918572</v>
      </c>
      <c r="S26" s="26" t="n">
        <f aca="false">I26*($C$31+$D$31)</f>
        <v>117.5022864</v>
      </c>
      <c r="T26" s="26" t="n">
        <f aca="false">L26*($C$31+$D$31)</f>
        <v>107.7104292</v>
      </c>
      <c r="U26" s="26" t="n">
        <f aca="false">IF(K26="não",M26*($C$31+$D$31),M26*(C$31+D$31+E$31))</f>
        <v>507.8995732</v>
      </c>
      <c r="V26" s="26" t="n">
        <f aca="false">VLOOKUP(Q26,'Desl. Base Novo Hamburgo'!$C$5:$S$25,13,FALSE())*($C$31+$D$31+$E$31*(VLOOKUP(Q26,'Desl. Base Novo Hamburgo'!$C$5:$S$25,17,FALSE())/12))</f>
        <v>97.3795441888889</v>
      </c>
      <c r="W26" s="26" t="n">
        <f aca="false">VLOOKUP(Q26,'Desl. Base Novo Hamburgo'!$C$5:$S$25,15,FALSE())*(2+(VLOOKUP(Q26,'Desl. Base Novo Hamburgo'!$C$5:$S$25,17,FALSE())/12))</f>
        <v>0</v>
      </c>
      <c r="X26" s="26" t="n">
        <f aca="false">VLOOKUP(Q26,'Desl. Base Novo Hamburgo'!$C$5:$Q$25,14,FALSE())</f>
        <v>0</v>
      </c>
      <c r="Y26" s="26" t="n">
        <f aca="false">VLOOKUP(Q26,'Desl. Base Novo Hamburgo'!$C$5:Q$25,13,FALSE())*'Desl. Base Novo Hamburgo'!$E$30+'Desl. Base Novo Hamburgo'!$E$31*N26/12</f>
        <v>123.018833333333</v>
      </c>
      <c r="Z26" s="26" t="n">
        <f aca="false">(H26/$AC$5)*'Equipe Técnica'!$C$13</f>
        <v>303.684498143413</v>
      </c>
      <c r="AA26" s="26" t="n">
        <f aca="false">(I26/$AC$5)*'Equipe Técnica'!$C$13</f>
        <v>364.421397772096</v>
      </c>
      <c r="AB26" s="26" t="n">
        <f aca="false">(L26/$AC$5)*'Equipe Técnica'!$C$13</f>
        <v>334.052947957754</v>
      </c>
      <c r="AC26" s="26" t="n">
        <f aca="false">(M26/$AC$5)*'Equipe Técnica'!$C$13</f>
        <v>941.42194424458</v>
      </c>
      <c r="AD26" s="26" t="n">
        <f aca="false">R26+(($V26+$W26+$X26+$Y26)*12/19)+$Z26</f>
        <v>540.802045420606</v>
      </c>
      <c r="AE26" s="26" t="n">
        <f aca="false">S26+(($V26+$W26+$X26+$Y26)*12/19)+$AA26</f>
        <v>621.122659449289</v>
      </c>
      <c r="AF26" s="26" t="n">
        <f aca="false">T26+(($V26+$W26+$X26+$Y26)*12/19)+$AB26</f>
        <v>580.962352434947</v>
      </c>
      <c r="AG26" s="26" t="n">
        <f aca="false">U26+(($V26+$W26+$X26+$Y26)*12/19)+$AC26</f>
        <v>1588.52049272177</v>
      </c>
      <c r="AH26" s="136"/>
      <c r="AI26" s="24" t="str">
        <f aca="false">B26</f>
        <v>APS SÃO JERÔNIMO</v>
      </c>
      <c r="AJ26" s="70" t="n">
        <f aca="false">VLOOKUP(AI26,Unidades!D$5:H$35,5,)</f>
        <v>0.2849</v>
      </c>
      <c r="AK26" s="48" t="n">
        <f aca="false">AD26*(1+$AJ26)</f>
        <v>694.876548160937</v>
      </c>
      <c r="AL26" s="48" t="n">
        <f aca="false">AE26*(1+$AJ26)</f>
        <v>798.080505126391</v>
      </c>
      <c r="AM26" s="48" t="n">
        <f aca="false">AF26*(1+$AJ26)</f>
        <v>746.478526643664</v>
      </c>
      <c r="AN26" s="48" t="n">
        <f aca="false">AG26*(1+$AJ26)</f>
        <v>2041.08998109821</v>
      </c>
      <c r="AO26" s="48" t="n">
        <f aca="false">((AK26*12)+(AL26*4)+(AM26*2)+AN26)/12</f>
        <v>1255.40730273519</v>
      </c>
      <c r="AP26" s="48" t="n">
        <f aca="false">AO26*$AP$6</f>
        <v>3309.71016175642</v>
      </c>
      <c r="AQ26" s="48" t="n">
        <f aca="false">AO26+AP26</f>
        <v>4565.11746449162</v>
      </c>
      <c r="AR26" s="71"/>
      <c r="AV26" s="71"/>
      <c r="AW26" s="71"/>
    </row>
    <row r="27" customFormat="false" ht="15" hidden="false" customHeight="true" outlineLevel="0" collapsed="false">
      <c r="B27" s="24" t="s">
        <v>150</v>
      </c>
      <c r="C27" s="66" t="n">
        <f aca="false">VLOOKUP($B27,Unidades!$D$5:$N$35,6,FALSE())</f>
        <v>914.18</v>
      </c>
      <c r="D27" s="66" t="n">
        <f aca="false">VLOOKUP($B27,Unidades!$D$5:$N$35,7,FALSE())</f>
        <v>423.72</v>
      </c>
      <c r="E27" s="66" t="n">
        <f aca="false">VLOOKUP($B27,Unidades!$D$5:$N$35,8,FALSE())</f>
        <v>63.03</v>
      </c>
      <c r="F27" s="66" t="n">
        <f aca="false">VLOOKUP($B27,Unidades!$D$5:$N$35,9,FALSE())</f>
        <v>427.43</v>
      </c>
      <c r="G27" s="66" t="n">
        <f aca="false">D27+$E$6*E27+$F$6*F27</f>
        <v>488.5235</v>
      </c>
      <c r="H27" s="67" t="n">
        <f aca="false">IF(G27&lt;750,1.5,IF(G27&lt;2000,2,IF(G27&lt;4000,3,12)))</f>
        <v>1.5</v>
      </c>
      <c r="I27" s="67" t="n">
        <f aca="false">$I$6*H27</f>
        <v>1.8</v>
      </c>
      <c r="J27" s="67" t="str">
        <f aca="false">VLOOKUP($B27,Unidades!$D$5:$N$35,10,FALSE())</f>
        <v>NÃO</v>
      </c>
      <c r="K27" s="67" t="str">
        <f aca="false">VLOOKUP($B27,Unidades!$D$5:$N$35,11,FALSE())</f>
        <v>SIM</v>
      </c>
      <c r="L27" s="67" t="n">
        <f aca="false">$L$6*H27+(IF(J27="SIM",$J$6,0))</f>
        <v>1.65</v>
      </c>
      <c r="M27" s="67" t="n">
        <f aca="false">$M$6*H27+(IF(J27="SIM",$J$6,0))+(IF(K27="SIM",$K$6,0))</f>
        <v>5.65</v>
      </c>
      <c r="N27" s="67" t="n">
        <f aca="false">H27*12+I27*4+L27*2+M27</f>
        <v>34.15</v>
      </c>
      <c r="O27" s="68" t="n">
        <f aca="false">IF(K27="não", N27*(C$31+D$31),N27*(C$31+D$31)+(M27*+E$31))</f>
        <v>1858.1836169</v>
      </c>
      <c r="P27" s="69"/>
      <c r="Q27" s="24" t="str">
        <f aca="false">B27</f>
        <v>APS TAQUARI</v>
      </c>
      <c r="R27" s="26" t="n">
        <f aca="false">H27*($C$31+$D$31)</f>
        <v>73.438929</v>
      </c>
      <c r="S27" s="26" t="n">
        <f aca="false">I27*($C$31+$D$31)</f>
        <v>88.1267148</v>
      </c>
      <c r="T27" s="26" t="n">
        <f aca="false">L27*($C$31+$D$31)</f>
        <v>80.7828219</v>
      </c>
      <c r="U27" s="26" t="n">
        <f aca="false">IF(K27="não",M27*($C$31+$D$31),M27*(C$31+D$31+E$31))</f>
        <v>462.8439659</v>
      </c>
      <c r="V27" s="26" t="n">
        <f aca="false">VLOOKUP(Q27,'Desl. Base Novo Hamburgo'!$C$5:$S$25,13,FALSE())*($C$31+$D$31+$E$31*(VLOOKUP(Q27,'Desl. Base Novo Hamburgo'!$C$5:$S$25,17,FALSE())/12))</f>
        <v>141.329603955556</v>
      </c>
      <c r="W27" s="26" t="n">
        <f aca="false">VLOOKUP(Q27,'Desl. Base Novo Hamburgo'!$C$5:$S$25,15,FALSE())*(2+(VLOOKUP(Q27,'Desl. Base Novo Hamburgo'!$C$5:$S$25,17,FALSE())/12))</f>
        <v>0</v>
      </c>
      <c r="X27" s="26" t="n">
        <f aca="false">VLOOKUP(Q27,'Desl. Base Novo Hamburgo'!$C$5:$Q$25,14,FALSE())</f>
        <v>0</v>
      </c>
      <c r="Y27" s="26" t="n">
        <f aca="false">VLOOKUP(Q27,'Desl. Base Novo Hamburgo'!$C$5:Q$25,13,FALSE())*'Desl. Base Novo Hamburgo'!$E$30+'Desl. Base Novo Hamburgo'!$E$31*N27/12</f>
        <v>162.141333333333</v>
      </c>
      <c r="Z27" s="26" t="n">
        <f aca="false">(H27/$AC$5)*'Equipe Técnica'!$C$13</f>
        <v>227.76337360756</v>
      </c>
      <c r="AA27" s="26" t="n">
        <f aca="false">(I27/$AC$5)*'Equipe Técnica'!$C$13</f>
        <v>273.316048329072</v>
      </c>
      <c r="AB27" s="26" t="n">
        <f aca="false">(L27/$AC$5)*'Equipe Técnica'!$C$13</f>
        <v>250.539710968316</v>
      </c>
      <c r="AC27" s="26" t="n">
        <f aca="false">(M27/$AC$5)*'Equipe Técnica'!$C$13</f>
        <v>857.908707255142</v>
      </c>
      <c r="AD27" s="26" t="n">
        <f aca="false">R27+(($V27+$W27+$X27+$Y27)*12/19)+$Z27</f>
        <v>492.868157737384</v>
      </c>
      <c r="AE27" s="26" t="n">
        <f aca="false">S27+(($V27+$W27+$X27+$Y27)*12/19)+$AA27</f>
        <v>553.108618258896</v>
      </c>
      <c r="AF27" s="26" t="n">
        <f aca="false">T27+(($V27+$W27+$X27+$Y27)*12/19)+$AB27</f>
        <v>522.98838799814</v>
      </c>
      <c r="AG27" s="26" t="n">
        <f aca="false">U27+(($V27+$W27+$X27+$Y27)*12/19)+$AC27</f>
        <v>1512.41852828497</v>
      </c>
      <c r="AH27" s="136"/>
      <c r="AI27" s="24" t="str">
        <f aca="false">B27</f>
        <v>APS TAQUARI</v>
      </c>
      <c r="AJ27" s="70" t="n">
        <f aca="false">VLOOKUP(AI27,Unidades!D$5:H$35,5,)</f>
        <v>0.2707</v>
      </c>
      <c r="AK27" s="48" t="n">
        <f aca="false">AD27*(1+$AJ27)</f>
        <v>626.287568036894</v>
      </c>
      <c r="AL27" s="48" t="n">
        <f aca="false">AE27*(1+$AJ27)</f>
        <v>702.83512122158</v>
      </c>
      <c r="AM27" s="48" t="n">
        <f aca="false">AF27*(1+$AJ27)</f>
        <v>664.561344629237</v>
      </c>
      <c r="AN27" s="48" t="n">
        <f aca="false">AG27*(1+$AJ27)</f>
        <v>1921.83022389171</v>
      </c>
      <c r="AO27" s="48" t="n">
        <f aca="false">((AK27*12)+(AL27*4)+(AM27*2)+AN27)/12</f>
        <v>1131.47868453994</v>
      </c>
      <c r="AP27" s="48" t="n">
        <f aca="false">AO27*$AP$6</f>
        <v>2982.98925924165</v>
      </c>
      <c r="AQ27" s="48" t="n">
        <f aca="false">AO27+AP27</f>
        <v>4114.46794378158</v>
      </c>
      <c r="AR27" s="71"/>
      <c r="AS27" s="71"/>
      <c r="AT27" s="71"/>
      <c r="AU27" s="71"/>
      <c r="AV27" s="71"/>
      <c r="AW27" s="71"/>
    </row>
    <row r="28" customFormat="false" ht="19.5" hidden="false" customHeight="true" outlineLevel="0" collapsed="false">
      <c r="A28" s="139"/>
      <c r="B28" s="140" t="s">
        <v>96</v>
      </c>
      <c r="C28" s="76" t="n">
        <f aca="false">SUM(C7:C27)</f>
        <v>31388.56</v>
      </c>
      <c r="D28" s="76" t="n">
        <f aca="false">SUM(D7:D27)</f>
        <v>8960.38</v>
      </c>
      <c r="E28" s="76" t="n">
        <f aca="false">SUM(E7:E27)</f>
        <v>8978.43</v>
      </c>
      <c r="F28" s="76" t="n">
        <f aca="false">SUM(F7:F27)</f>
        <v>13449.75</v>
      </c>
      <c r="G28" s="76" t="n">
        <f aca="false">SUM(G7:G27)</f>
        <v>13447.8055</v>
      </c>
      <c r="H28" s="77" t="n">
        <f aca="false">SUM(H7:H27)</f>
        <v>36</v>
      </c>
      <c r="I28" s="77" t="n">
        <f aca="false">SUM(I7:I27)</f>
        <v>43.2</v>
      </c>
      <c r="J28" s="77" t="n">
        <f aca="false">COUNTIF(J7:J27,"SIM")</f>
        <v>4</v>
      </c>
      <c r="K28" s="77" t="n">
        <f aca="false">COUNTIF(K7:K27,"SIM")</f>
        <v>14</v>
      </c>
      <c r="L28" s="77" t="n">
        <f aca="false">SUM(L7:L27)</f>
        <v>47.6</v>
      </c>
      <c r="M28" s="77" t="n">
        <f aca="false">SUM(M7:M27)</f>
        <v>103.6</v>
      </c>
      <c r="N28" s="77" t="n">
        <f aca="false">SUM(N7:N27)</f>
        <v>803.6</v>
      </c>
      <c r="O28" s="78" t="n">
        <f aca="false">SUM(O7:O27)</f>
        <v>42209.5542296</v>
      </c>
      <c r="P28" s="141"/>
      <c r="Q28" s="142" t="s">
        <v>96</v>
      </c>
      <c r="R28" s="80" t="n">
        <f aca="false">SUM(R7:R27)</f>
        <v>1762.534296</v>
      </c>
      <c r="S28" s="80" t="n">
        <f aca="false">SUM(S7:S27)</f>
        <v>2115.0411552</v>
      </c>
      <c r="T28" s="80" t="n">
        <f aca="false">SUM(T7:T27)</f>
        <v>2330.4620136</v>
      </c>
      <c r="U28" s="80" t="n">
        <f aca="false">SUM(U7:U27)</f>
        <v>7938.0540296</v>
      </c>
      <c r="V28" s="80" t="n">
        <f aca="false">SUM(V7:V27)</f>
        <v>1337.6334479</v>
      </c>
      <c r="W28" s="80" t="n">
        <f aca="false">SUM(W7:W27)</f>
        <v>0</v>
      </c>
      <c r="X28" s="80" t="n">
        <f aca="false">SUM(X7:X27)</f>
        <v>116.6</v>
      </c>
      <c r="Y28" s="80" t="n">
        <f aca="false">SUM(Y7:Y27)</f>
        <v>1803.1665</v>
      </c>
      <c r="Z28" s="80" t="n">
        <f aca="false">SUM(Z7:Z27)</f>
        <v>5466.32096658143</v>
      </c>
      <c r="AA28" s="80" t="n">
        <f aca="false">SUM(AA7:AA27)</f>
        <v>6559.58515989772</v>
      </c>
      <c r="AB28" s="80" t="n">
        <f aca="false">SUM(AB7:AB27)</f>
        <v>7227.69105581323</v>
      </c>
      <c r="AC28" s="80" t="n">
        <f aca="false">SUM(AC7:AC27)</f>
        <v>15730.8570038288</v>
      </c>
      <c r="AD28" s="80" t="n">
        <f aca="false">SUM(AD7:AD27)</f>
        <v>9286.16049283407</v>
      </c>
      <c r="AE28" s="80" t="n">
        <f aca="false">SUM(AE7:AE27)</f>
        <v>10731.9315453504</v>
      </c>
      <c r="AF28" s="80" t="n">
        <f aca="false">SUM(AF7:AF27)</f>
        <v>11615.4582996659</v>
      </c>
      <c r="AG28" s="80" t="n">
        <f aca="false">SUM(AG7:AG27)</f>
        <v>25726.2162636814</v>
      </c>
      <c r="AH28" s="41"/>
      <c r="AI28" s="77" t="s">
        <v>96</v>
      </c>
      <c r="AJ28" s="77"/>
      <c r="AK28" s="81" t="n">
        <f aca="false">SUM(AK7:AK27)</f>
        <v>11869.545550191</v>
      </c>
      <c r="AL28" s="81" t="n">
        <f aca="false">SUM(AL7:AL27)</f>
        <v>13717.2550114143</v>
      </c>
      <c r="AM28" s="81" t="n">
        <f aca="false">SUM(AM7:AM27)</f>
        <v>14840.3711293236</v>
      </c>
      <c r="AN28" s="81" t="n">
        <f aca="false">SUM(AN7:AN27)</f>
        <v>32870.6296237427</v>
      </c>
      <c r="AO28" s="81" t="n">
        <f aca="false">SUM(AO7:AO27)</f>
        <v>21654.5782108616</v>
      </c>
      <c r="AP28" s="81" t="n">
        <f aca="false">SUM(AP7:AP27)</f>
        <v>57089.3425559078</v>
      </c>
      <c r="AQ28" s="81" t="n">
        <f aca="false">SUM(AQ7:AQ27)</f>
        <v>78743.9207667693</v>
      </c>
      <c r="AR28" s="71"/>
      <c r="AS28" s="71"/>
      <c r="AT28" s="71"/>
      <c r="AU28" s="71"/>
      <c r="AV28" s="71"/>
      <c r="AW28" s="7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139"/>
      <c r="BP28" s="139"/>
      <c r="BQ28" s="139"/>
      <c r="BR28" s="139"/>
      <c r="BS28" s="139"/>
      <c r="BT28" s="139"/>
      <c r="BU28" s="139"/>
      <c r="BV28" s="139"/>
      <c r="BW28" s="139"/>
      <c r="BX28" s="139"/>
      <c r="BY28" s="139"/>
      <c r="BZ28" s="139"/>
      <c r="CA28" s="139"/>
      <c r="CB28" s="139"/>
      <c r="CC28" s="139"/>
      <c r="CD28" s="139"/>
      <c r="CE28" s="139"/>
      <c r="CF28" s="139"/>
      <c r="CG28" s="139"/>
      <c r="CH28" s="139"/>
      <c r="CI28" s="139"/>
      <c r="CJ28" s="139"/>
      <c r="CK28" s="139"/>
      <c r="CL28" s="139"/>
      <c r="CM28" s="139"/>
      <c r="CN28" s="139"/>
      <c r="CO28" s="139"/>
      <c r="CP28" s="139"/>
      <c r="CQ28" s="139"/>
      <c r="CR28" s="139"/>
      <c r="CS28" s="139"/>
      <c r="CT28" s="139"/>
      <c r="CU28" s="139"/>
      <c r="CV28" s="139"/>
      <c r="CW28" s="139"/>
      <c r="CX28" s="139"/>
      <c r="CY28" s="139"/>
      <c r="CZ28" s="139"/>
      <c r="DA28" s="139"/>
      <c r="DB28" s="139"/>
      <c r="DC28" s="139"/>
      <c r="DD28" s="139"/>
      <c r="DE28" s="139"/>
      <c r="DF28" s="139"/>
      <c r="DG28" s="139"/>
      <c r="DH28" s="139"/>
      <c r="DI28" s="139"/>
      <c r="DJ28" s="139"/>
      <c r="DK28" s="139"/>
      <c r="DL28" s="139"/>
      <c r="DM28" s="139"/>
      <c r="DN28" s="139"/>
      <c r="DO28" s="139"/>
      <c r="DP28" s="139"/>
      <c r="DQ28" s="139"/>
      <c r="DR28" s="139"/>
      <c r="DS28" s="139"/>
      <c r="DT28" s="139"/>
      <c r="DU28" s="139"/>
      <c r="DV28" s="139"/>
      <c r="DW28" s="139"/>
      <c r="DX28" s="139"/>
      <c r="DY28" s="139"/>
      <c r="DZ28" s="139"/>
      <c r="EA28" s="139"/>
      <c r="EB28" s="139"/>
      <c r="EC28" s="139"/>
      <c r="ED28" s="139"/>
      <c r="EE28" s="139"/>
      <c r="EF28" s="139"/>
      <c r="EG28" s="139"/>
      <c r="EH28" s="139"/>
      <c r="EI28" s="139"/>
      <c r="EJ28" s="139"/>
      <c r="EK28" s="139"/>
      <c r="EL28" s="139"/>
      <c r="EM28" s="139"/>
      <c r="EN28" s="139"/>
      <c r="EO28" s="139"/>
      <c r="EP28" s="139"/>
      <c r="EQ28" s="139"/>
      <c r="ER28" s="139"/>
      <c r="ES28" s="139"/>
      <c r="ET28" s="139"/>
      <c r="EU28" s="139"/>
      <c r="EV28" s="139"/>
      <c r="EW28" s="139"/>
      <c r="EX28" s="139"/>
      <c r="EY28" s="139"/>
      <c r="EZ28" s="139"/>
      <c r="FA28" s="139"/>
      <c r="FB28" s="139"/>
      <c r="FC28" s="139"/>
      <c r="FD28" s="139"/>
      <c r="FE28" s="139"/>
      <c r="FF28" s="139"/>
      <c r="FG28" s="139"/>
      <c r="FH28" s="139"/>
      <c r="FI28" s="139"/>
      <c r="FJ28" s="139"/>
      <c r="FK28" s="139"/>
      <c r="FL28" s="139"/>
      <c r="FM28" s="139"/>
      <c r="FN28" s="139"/>
      <c r="FO28" s="139"/>
      <c r="FP28" s="139"/>
      <c r="FQ28" s="139"/>
      <c r="FR28" s="139"/>
      <c r="FS28" s="139"/>
      <c r="FT28" s="139"/>
      <c r="FU28" s="139"/>
      <c r="FV28" s="139"/>
      <c r="FW28" s="139"/>
      <c r="FX28" s="139"/>
      <c r="FY28" s="139"/>
      <c r="FZ28" s="139"/>
      <c r="GA28" s="139"/>
      <c r="GB28" s="139"/>
      <c r="GC28" s="139"/>
      <c r="GD28" s="139"/>
      <c r="GE28" s="139"/>
      <c r="GF28" s="139"/>
      <c r="GG28" s="139"/>
      <c r="GH28" s="139"/>
      <c r="GI28" s="139"/>
      <c r="GJ28" s="139"/>
      <c r="GK28" s="139"/>
      <c r="GL28" s="139"/>
      <c r="GM28" s="139"/>
      <c r="GN28" s="139"/>
      <c r="GO28" s="139"/>
      <c r="GP28" s="139"/>
      <c r="GQ28" s="139"/>
      <c r="GR28" s="139"/>
      <c r="GS28" s="139"/>
      <c r="GT28" s="139"/>
      <c r="GU28" s="139"/>
      <c r="GV28" s="139"/>
      <c r="GW28" s="139"/>
      <c r="GX28" s="139"/>
      <c r="GY28" s="139"/>
      <c r="GZ28" s="139"/>
      <c r="HA28" s="139"/>
      <c r="HB28" s="139"/>
      <c r="HC28" s="139"/>
      <c r="HD28" s="139"/>
      <c r="HE28" s="139"/>
      <c r="HF28" s="139"/>
      <c r="HG28" s="139"/>
      <c r="HH28" s="139"/>
      <c r="HI28" s="139"/>
      <c r="HJ28" s="139"/>
      <c r="HK28" s="139"/>
      <c r="HL28" s="139"/>
      <c r="HM28" s="139"/>
      <c r="HN28" s="139"/>
      <c r="HO28" s="139"/>
      <c r="HP28" s="139"/>
      <c r="HQ28" s="139"/>
      <c r="HR28" s="139"/>
      <c r="HS28" s="139"/>
      <c r="HT28" s="139"/>
      <c r="HU28" s="139"/>
      <c r="HV28" s="139"/>
      <c r="HW28" s="139"/>
      <c r="HX28" s="139"/>
      <c r="HY28" s="139"/>
      <c r="HZ28" s="139"/>
      <c r="IA28" s="139"/>
      <c r="IB28" s="139"/>
      <c r="IC28" s="139"/>
      <c r="ID28" s="139"/>
      <c r="IE28" s="139"/>
      <c r="IF28" s="139"/>
      <c r="IG28" s="139"/>
      <c r="IH28" s="139"/>
      <c r="II28" s="139"/>
      <c r="IJ28" s="139"/>
      <c r="IK28" s="139"/>
      <c r="IL28" s="139"/>
      <c r="IM28" s="139"/>
      <c r="IN28" s="139"/>
      <c r="IO28" s="139"/>
      <c r="IP28" s="139"/>
      <c r="IQ28" s="139"/>
      <c r="IR28" s="139"/>
      <c r="IS28" s="139"/>
      <c r="IT28" s="139"/>
      <c r="IU28" s="139"/>
      <c r="IV28" s="139"/>
      <c r="IW28" s="139"/>
      <c r="IX28" s="139"/>
      <c r="IY28" s="139"/>
      <c r="IZ28" s="139"/>
      <c r="JA28" s="139"/>
      <c r="JB28" s="139"/>
      <c r="JC28" s="139"/>
      <c r="JD28" s="139"/>
      <c r="JE28" s="139"/>
      <c r="JF28" s="139"/>
      <c r="JG28" s="139"/>
      <c r="JH28" s="139"/>
      <c r="JI28" s="139"/>
      <c r="JJ28" s="139"/>
      <c r="JK28" s="139"/>
      <c r="JL28" s="139"/>
      <c r="JM28" s="139"/>
      <c r="JN28" s="139"/>
      <c r="JO28" s="139"/>
      <c r="JP28" s="139"/>
      <c r="JQ28" s="139"/>
      <c r="JR28" s="139"/>
      <c r="JS28" s="139"/>
      <c r="JT28" s="139"/>
      <c r="JU28" s="139"/>
      <c r="JV28" s="139"/>
      <c r="JW28" s="139"/>
      <c r="JX28" s="139"/>
      <c r="JY28" s="139"/>
      <c r="JZ28" s="139"/>
      <c r="KA28" s="139"/>
      <c r="KB28" s="139"/>
      <c r="KC28" s="139"/>
      <c r="KD28" s="139"/>
      <c r="KE28" s="139"/>
      <c r="KF28" s="139"/>
      <c r="KG28" s="139"/>
      <c r="KH28" s="139"/>
      <c r="KI28" s="139"/>
      <c r="KJ28" s="139"/>
      <c r="KK28" s="139"/>
      <c r="KL28" s="139"/>
      <c r="KM28" s="139"/>
      <c r="KN28" s="139"/>
      <c r="KO28" s="139"/>
      <c r="KP28" s="139"/>
      <c r="KQ28" s="139"/>
      <c r="KR28" s="139"/>
      <c r="KS28" s="139"/>
      <c r="KT28" s="139"/>
      <c r="KU28" s="139"/>
      <c r="KV28" s="139"/>
      <c r="KW28" s="139"/>
      <c r="KX28" s="139"/>
      <c r="KY28" s="139"/>
      <c r="KZ28" s="139"/>
      <c r="LA28" s="139"/>
      <c r="LB28" s="139"/>
      <c r="LC28" s="139"/>
      <c r="LD28" s="139"/>
      <c r="LE28" s="139"/>
      <c r="LF28" s="139"/>
      <c r="LG28" s="139"/>
      <c r="LH28" s="139"/>
      <c r="LI28" s="139"/>
      <c r="LJ28" s="139"/>
      <c r="LK28" s="139"/>
      <c r="LL28" s="139"/>
      <c r="LM28" s="139"/>
      <c r="LN28" s="139"/>
      <c r="LO28" s="139"/>
      <c r="LP28" s="139"/>
      <c r="LQ28" s="139"/>
      <c r="LR28" s="139"/>
      <c r="LS28" s="139"/>
      <c r="LT28" s="139"/>
      <c r="LU28" s="139"/>
      <c r="LV28" s="139"/>
      <c r="LW28" s="139"/>
      <c r="LX28" s="139"/>
      <c r="LY28" s="139"/>
      <c r="LZ28" s="139"/>
      <c r="MA28" s="139"/>
      <c r="MB28" s="139"/>
      <c r="MC28" s="139"/>
      <c r="MD28" s="139"/>
      <c r="ME28" s="139"/>
      <c r="MF28" s="139"/>
      <c r="MG28" s="139"/>
      <c r="MH28" s="139"/>
      <c r="MI28" s="139"/>
      <c r="MJ28" s="139"/>
      <c r="MK28" s="139"/>
      <c r="ML28" s="139"/>
      <c r="MM28" s="139"/>
      <c r="MN28" s="139"/>
      <c r="MO28" s="139"/>
      <c r="MP28" s="139"/>
      <c r="MQ28" s="139"/>
      <c r="MR28" s="139"/>
      <c r="MS28" s="139"/>
      <c r="MT28" s="139"/>
      <c r="MU28" s="139"/>
      <c r="MV28" s="139"/>
      <c r="MW28" s="139"/>
      <c r="MX28" s="139"/>
      <c r="MY28" s="139"/>
      <c r="MZ28" s="139"/>
      <c r="NA28" s="139"/>
      <c r="NB28" s="139"/>
      <c r="NC28" s="139"/>
      <c r="ND28" s="139"/>
      <c r="NE28" s="139"/>
      <c r="NF28" s="139"/>
      <c r="NG28" s="139"/>
      <c r="NH28" s="139"/>
      <c r="NI28" s="139"/>
      <c r="NJ28" s="139"/>
      <c r="NK28" s="139"/>
      <c r="NL28" s="139"/>
      <c r="NM28" s="139"/>
      <c r="NN28" s="139"/>
      <c r="NO28" s="139"/>
      <c r="NP28" s="139"/>
      <c r="NQ28" s="139"/>
      <c r="NR28" s="139"/>
      <c r="NS28" s="139"/>
      <c r="NT28" s="139"/>
      <c r="NU28" s="139"/>
      <c r="NV28" s="139"/>
      <c r="NW28" s="139"/>
      <c r="NX28" s="139"/>
      <c r="NY28" s="139"/>
      <c r="NZ28" s="139"/>
      <c r="OA28" s="139"/>
      <c r="OB28" s="139"/>
      <c r="OC28" s="139"/>
      <c r="OD28" s="139"/>
      <c r="OE28" s="139"/>
      <c r="OF28" s="139"/>
      <c r="OG28" s="139"/>
      <c r="OH28" s="139"/>
      <c r="OI28" s="139"/>
      <c r="OJ28" s="139"/>
      <c r="OK28" s="139"/>
      <c r="OL28" s="139"/>
      <c r="OM28" s="139"/>
      <c r="ON28" s="139"/>
      <c r="OO28" s="139"/>
      <c r="OP28" s="139"/>
      <c r="OQ28" s="139"/>
      <c r="OR28" s="139"/>
      <c r="OS28" s="139"/>
      <c r="OT28" s="139"/>
      <c r="OU28" s="139"/>
      <c r="OV28" s="139"/>
      <c r="OW28" s="139"/>
      <c r="OX28" s="139"/>
      <c r="OY28" s="139"/>
      <c r="OZ28" s="139"/>
      <c r="PA28" s="139"/>
      <c r="PB28" s="139"/>
      <c r="PC28" s="139"/>
      <c r="PD28" s="139"/>
      <c r="PE28" s="139"/>
      <c r="PF28" s="139"/>
      <c r="PG28" s="139"/>
      <c r="PH28" s="139"/>
      <c r="PI28" s="139"/>
      <c r="PJ28" s="139"/>
      <c r="PK28" s="139"/>
      <c r="PL28" s="139"/>
      <c r="PM28" s="139"/>
      <c r="PN28" s="139"/>
      <c r="PO28" s="139"/>
      <c r="PP28" s="139"/>
      <c r="PQ28" s="139"/>
      <c r="PR28" s="139"/>
      <c r="PS28" s="139"/>
      <c r="PT28" s="139"/>
      <c r="PU28" s="139"/>
      <c r="PV28" s="139"/>
      <c r="PW28" s="139"/>
      <c r="PX28" s="139"/>
      <c r="PY28" s="139"/>
      <c r="PZ28" s="139"/>
      <c r="QA28" s="139"/>
      <c r="QB28" s="139"/>
      <c r="QC28" s="139"/>
      <c r="QD28" s="139"/>
      <c r="QE28" s="139"/>
      <c r="QF28" s="139"/>
      <c r="QG28" s="139"/>
      <c r="QH28" s="139"/>
      <c r="QI28" s="139"/>
      <c r="QJ28" s="139"/>
      <c r="QK28" s="139"/>
      <c r="QL28" s="139"/>
      <c r="QM28" s="139"/>
      <c r="QN28" s="139"/>
      <c r="QO28" s="139"/>
      <c r="QP28" s="139"/>
      <c r="QQ28" s="139"/>
      <c r="QR28" s="139"/>
      <c r="QS28" s="139"/>
      <c r="QT28" s="139"/>
      <c r="QU28" s="139"/>
      <c r="QV28" s="139"/>
      <c r="QW28" s="139"/>
      <c r="QX28" s="139"/>
      <c r="QY28" s="139"/>
      <c r="QZ28" s="139"/>
      <c r="RA28" s="139"/>
      <c r="RB28" s="139"/>
      <c r="RC28" s="139"/>
      <c r="RD28" s="139"/>
      <c r="RE28" s="139"/>
      <c r="RF28" s="139"/>
      <c r="RG28" s="139"/>
      <c r="RH28" s="139"/>
      <c r="RI28" s="139"/>
      <c r="RJ28" s="139"/>
      <c r="RK28" s="139"/>
      <c r="RL28" s="139"/>
      <c r="RM28" s="139"/>
      <c r="RN28" s="139"/>
      <c r="RO28" s="139"/>
      <c r="RP28" s="139"/>
      <c r="RQ28" s="139"/>
      <c r="RR28" s="139"/>
      <c r="RS28" s="139"/>
      <c r="RT28" s="139"/>
      <c r="RU28" s="139"/>
      <c r="RV28" s="139"/>
      <c r="RW28" s="139"/>
      <c r="RX28" s="139"/>
      <c r="RY28" s="139"/>
      <c r="RZ28" s="139"/>
      <c r="SA28" s="139"/>
      <c r="SB28" s="139"/>
      <c r="SC28" s="139"/>
      <c r="SD28" s="139"/>
      <c r="SE28" s="139"/>
      <c r="SF28" s="139"/>
      <c r="SG28" s="139"/>
      <c r="SH28" s="139"/>
      <c r="SI28" s="139"/>
      <c r="SJ28" s="139"/>
      <c r="SK28" s="139"/>
      <c r="SL28" s="139"/>
      <c r="SM28" s="139"/>
      <c r="SN28" s="139"/>
      <c r="SO28" s="139"/>
      <c r="SP28" s="139"/>
      <c r="SQ28" s="139"/>
      <c r="SR28" s="139"/>
      <c r="SS28" s="139"/>
      <c r="ST28" s="139"/>
      <c r="SU28" s="139"/>
      <c r="SV28" s="139"/>
      <c r="SW28" s="139"/>
      <c r="SX28" s="139"/>
      <c r="SY28" s="139"/>
      <c r="SZ28" s="139"/>
      <c r="TA28" s="139"/>
      <c r="TB28" s="139"/>
      <c r="TC28" s="139"/>
      <c r="TD28" s="139"/>
      <c r="TE28" s="139"/>
      <c r="TF28" s="139"/>
      <c r="TG28" s="139"/>
      <c r="TH28" s="139"/>
      <c r="TI28" s="139"/>
      <c r="TJ28" s="139"/>
      <c r="TK28" s="139"/>
      <c r="TL28" s="139"/>
      <c r="TM28" s="139"/>
      <c r="TN28" s="139"/>
      <c r="TO28" s="139"/>
      <c r="TP28" s="139"/>
      <c r="TQ28" s="139"/>
      <c r="TR28" s="139"/>
      <c r="TS28" s="139"/>
      <c r="TT28" s="139"/>
      <c r="TU28" s="139"/>
      <c r="TV28" s="139"/>
      <c r="TW28" s="139"/>
      <c r="TX28" s="139"/>
      <c r="TY28" s="139"/>
      <c r="TZ28" s="139"/>
      <c r="UA28" s="139"/>
      <c r="UB28" s="139"/>
      <c r="UC28" s="139"/>
      <c r="UD28" s="139"/>
      <c r="UE28" s="139"/>
      <c r="UF28" s="139"/>
      <c r="UG28" s="139"/>
      <c r="UH28" s="139"/>
      <c r="UI28" s="139"/>
      <c r="UJ28" s="139"/>
      <c r="UK28" s="139"/>
      <c r="UL28" s="139"/>
      <c r="UM28" s="139"/>
      <c r="UN28" s="139"/>
      <c r="UO28" s="139"/>
      <c r="UP28" s="139"/>
      <c r="UQ28" s="139"/>
      <c r="UR28" s="139"/>
      <c r="US28" s="139"/>
      <c r="UT28" s="139"/>
      <c r="UU28" s="139"/>
      <c r="UV28" s="139"/>
      <c r="UW28" s="139"/>
      <c r="UX28" s="139"/>
      <c r="UY28" s="139"/>
      <c r="UZ28" s="139"/>
      <c r="VA28" s="139"/>
      <c r="VB28" s="139"/>
      <c r="VC28" s="139"/>
      <c r="VD28" s="139"/>
      <c r="VE28" s="139"/>
      <c r="VF28" s="139"/>
      <c r="VG28" s="139"/>
      <c r="VH28" s="139"/>
      <c r="VI28" s="139"/>
      <c r="VJ28" s="139"/>
      <c r="VK28" s="139"/>
      <c r="VL28" s="139"/>
      <c r="VM28" s="139"/>
      <c r="VN28" s="139"/>
      <c r="VO28" s="139"/>
      <c r="VP28" s="139"/>
      <c r="VQ28" s="139"/>
      <c r="VR28" s="139"/>
      <c r="VS28" s="139"/>
      <c r="VT28" s="139"/>
      <c r="VU28" s="139"/>
      <c r="VV28" s="139"/>
      <c r="VW28" s="139"/>
      <c r="VX28" s="139"/>
      <c r="VY28" s="139"/>
      <c r="VZ28" s="139"/>
      <c r="WA28" s="139"/>
      <c r="WB28" s="139"/>
      <c r="WC28" s="139"/>
      <c r="WD28" s="139"/>
      <c r="WE28" s="139"/>
      <c r="WF28" s="139"/>
      <c r="WG28" s="139"/>
      <c r="WH28" s="139"/>
      <c r="WI28" s="139"/>
      <c r="WJ28" s="139"/>
      <c r="WK28" s="139"/>
      <c r="WL28" s="139"/>
      <c r="WM28" s="139"/>
      <c r="WN28" s="139"/>
      <c r="WO28" s="139"/>
      <c r="WP28" s="139"/>
      <c r="WQ28" s="139"/>
      <c r="WR28" s="139"/>
      <c r="WS28" s="139"/>
      <c r="WT28" s="139"/>
      <c r="WU28" s="139"/>
      <c r="WV28" s="139"/>
      <c r="WW28" s="139"/>
      <c r="WX28" s="139"/>
      <c r="WY28" s="139"/>
      <c r="WZ28" s="139"/>
      <c r="XA28" s="139"/>
      <c r="XB28" s="139"/>
      <c r="XC28" s="139"/>
      <c r="XD28" s="139"/>
      <c r="XE28" s="139"/>
      <c r="XF28" s="139"/>
      <c r="XG28" s="139"/>
      <c r="XH28" s="139"/>
      <c r="XI28" s="139"/>
      <c r="XJ28" s="139"/>
      <c r="XK28" s="139"/>
      <c r="XL28" s="139"/>
      <c r="XM28" s="139"/>
      <c r="XN28" s="139"/>
      <c r="XO28" s="139"/>
      <c r="XP28" s="139"/>
      <c r="XQ28" s="139"/>
      <c r="XR28" s="139"/>
      <c r="XS28" s="139"/>
      <c r="XT28" s="139"/>
      <c r="XU28" s="139"/>
      <c r="XV28" s="139"/>
      <c r="XW28" s="139"/>
      <c r="XX28" s="139"/>
      <c r="XY28" s="139"/>
      <c r="XZ28" s="139"/>
      <c r="YA28" s="139"/>
      <c r="YB28" s="139"/>
      <c r="YC28" s="139"/>
      <c r="YD28" s="139"/>
      <c r="YE28" s="139"/>
      <c r="YF28" s="139"/>
      <c r="YG28" s="139"/>
      <c r="YH28" s="139"/>
      <c r="YI28" s="139"/>
      <c r="YJ28" s="139"/>
      <c r="YK28" s="139"/>
      <c r="YL28" s="139"/>
      <c r="YM28" s="139"/>
      <c r="YN28" s="139"/>
      <c r="YO28" s="139"/>
      <c r="YP28" s="139"/>
      <c r="YQ28" s="139"/>
      <c r="YR28" s="139"/>
      <c r="YS28" s="139"/>
      <c r="YT28" s="139"/>
      <c r="YU28" s="139"/>
      <c r="YV28" s="139"/>
      <c r="YW28" s="139"/>
      <c r="YX28" s="139"/>
      <c r="YY28" s="139"/>
      <c r="YZ28" s="139"/>
      <c r="ZA28" s="139"/>
      <c r="ZB28" s="139"/>
      <c r="ZC28" s="139"/>
      <c r="ZD28" s="139"/>
      <c r="ZE28" s="139"/>
      <c r="ZF28" s="139"/>
      <c r="ZG28" s="139"/>
      <c r="ZH28" s="139"/>
      <c r="ZI28" s="139"/>
      <c r="ZJ28" s="139"/>
      <c r="ZK28" s="139"/>
      <c r="ZL28" s="139"/>
      <c r="ZM28" s="139"/>
      <c r="ZN28" s="139"/>
      <c r="ZO28" s="139"/>
      <c r="ZP28" s="139"/>
      <c r="ZQ28" s="139"/>
      <c r="ZR28" s="139"/>
      <c r="ZS28" s="139"/>
      <c r="ZT28" s="139"/>
      <c r="ZU28" s="139"/>
      <c r="ZV28" s="139"/>
      <c r="ZW28" s="139"/>
      <c r="ZX28" s="139"/>
      <c r="ZY28" s="139"/>
      <c r="ZZ28" s="139"/>
      <c r="AAA28" s="139"/>
      <c r="AAB28" s="139"/>
      <c r="AAC28" s="139"/>
      <c r="AAD28" s="139"/>
      <c r="AAE28" s="139"/>
      <c r="AAF28" s="139"/>
      <c r="AAG28" s="139"/>
      <c r="AAH28" s="139"/>
      <c r="AAI28" s="139"/>
      <c r="AAJ28" s="139"/>
      <c r="AAK28" s="139"/>
      <c r="AAL28" s="139"/>
      <c r="AAM28" s="139"/>
      <c r="AAN28" s="139"/>
      <c r="AAO28" s="139"/>
      <c r="AAP28" s="139"/>
      <c r="AAQ28" s="139"/>
      <c r="AAR28" s="139"/>
      <c r="AAS28" s="139"/>
      <c r="AAT28" s="139"/>
      <c r="AAU28" s="139"/>
      <c r="AAV28" s="139"/>
      <c r="AAW28" s="139"/>
      <c r="AAX28" s="139"/>
      <c r="AAY28" s="139"/>
      <c r="AAZ28" s="139"/>
      <c r="ABA28" s="139"/>
      <c r="ABB28" s="139"/>
      <c r="ABC28" s="139"/>
      <c r="ABD28" s="139"/>
      <c r="ABE28" s="139"/>
      <c r="ABF28" s="139"/>
      <c r="ABG28" s="139"/>
      <c r="ABH28" s="139"/>
      <c r="ABI28" s="139"/>
      <c r="ABJ28" s="139"/>
      <c r="ABK28" s="139"/>
      <c r="ABL28" s="139"/>
      <c r="ABM28" s="139"/>
      <c r="ABN28" s="139"/>
      <c r="ABO28" s="139"/>
      <c r="ABP28" s="139"/>
      <c r="ABQ28" s="139"/>
      <c r="ABR28" s="139"/>
      <c r="ABS28" s="139"/>
      <c r="ABT28" s="139"/>
      <c r="ABU28" s="139"/>
      <c r="ABV28" s="139"/>
      <c r="ABW28" s="139"/>
      <c r="ABX28" s="139"/>
      <c r="ABY28" s="139"/>
      <c r="ABZ28" s="139"/>
      <c r="ACA28" s="139"/>
      <c r="ACB28" s="139"/>
      <c r="ACC28" s="139"/>
      <c r="ACD28" s="139"/>
      <c r="ACE28" s="139"/>
      <c r="ACF28" s="139"/>
      <c r="ACG28" s="139"/>
      <c r="ACH28" s="139"/>
      <c r="ACI28" s="139"/>
      <c r="ACJ28" s="139"/>
      <c r="ACK28" s="139"/>
      <c r="ACL28" s="139"/>
      <c r="ACM28" s="139"/>
      <c r="ACN28" s="139"/>
      <c r="ACO28" s="139"/>
      <c r="ACP28" s="139"/>
      <c r="ACQ28" s="139"/>
      <c r="ACR28" s="139"/>
      <c r="ACS28" s="139"/>
      <c r="ACT28" s="139"/>
      <c r="ACU28" s="139"/>
      <c r="ACV28" s="139"/>
      <c r="ACW28" s="139"/>
      <c r="ACX28" s="139"/>
      <c r="ACY28" s="139"/>
      <c r="ACZ28" s="139"/>
      <c r="ADA28" s="139"/>
      <c r="ADB28" s="139"/>
      <c r="ADC28" s="139"/>
      <c r="ADD28" s="139"/>
      <c r="ADE28" s="139"/>
      <c r="ADF28" s="139"/>
      <c r="ADG28" s="139"/>
      <c r="ADH28" s="139"/>
      <c r="ADI28" s="139"/>
      <c r="ADJ28" s="139"/>
      <c r="ADK28" s="139"/>
      <c r="ADL28" s="139"/>
      <c r="ADM28" s="139"/>
      <c r="ADN28" s="139"/>
      <c r="ADO28" s="139"/>
      <c r="ADP28" s="139"/>
      <c r="ADQ28" s="139"/>
      <c r="ADR28" s="139"/>
      <c r="ADS28" s="139"/>
      <c r="ADT28" s="139"/>
      <c r="ADU28" s="139"/>
      <c r="ADV28" s="139"/>
      <c r="ADW28" s="139"/>
      <c r="ADX28" s="139"/>
      <c r="ADY28" s="139"/>
      <c r="ADZ28" s="139"/>
      <c r="AEA28" s="139"/>
      <c r="AEB28" s="139"/>
      <c r="AEC28" s="139"/>
      <c r="AED28" s="139"/>
      <c r="AEE28" s="139"/>
      <c r="AEF28" s="139"/>
      <c r="AEG28" s="139"/>
      <c r="AEH28" s="139"/>
      <c r="AEI28" s="139"/>
      <c r="AEJ28" s="139"/>
      <c r="AEK28" s="139"/>
      <c r="AEL28" s="139"/>
      <c r="AEM28" s="139"/>
      <c r="AEN28" s="139"/>
      <c r="AEO28" s="139"/>
      <c r="AEP28" s="139"/>
      <c r="AEQ28" s="139"/>
      <c r="AER28" s="139"/>
      <c r="AES28" s="139"/>
      <c r="AET28" s="139"/>
      <c r="AEU28" s="139"/>
      <c r="AEV28" s="139"/>
      <c r="AEW28" s="139"/>
      <c r="AEX28" s="139"/>
      <c r="AEY28" s="139"/>
      <c r="AEZ28" s="139"/>
      <c r="AFA28" s="139"/>
      <c r="AFB28" s="139"/>
      <c r="AFC28" s="139"/>
      <c r="AFD28" s="139"/>
      <c r="AFE28" s="139"/>
      <c r="AFF28" s="139"/>
      <c r="AFG28" s="139"/>
      <c r="AFH28" s="139"/>
      <c r="AFI28" s="139"/>
      <c r="AFJ28" s="139"/>
      <c r="AFK28" s="139"/>
      <c r="AFL28" s="139"/>
      <c r="AFM28" s="139"/>
      <c r="AFN28" s="139"/>
      <c r="AFO28" s="139"/>
      <c r="AFP28" s="139"/>
      <c r="AFQ28" s="139"/>
      <c r="AFR28" s="139"/>
      <c r="AFS28" s="139"/>
      <c r="AFT28" s="139"/>
      <c r="AFU28" s="139"/>
      <c r="AFV28" s="139"/>
      <c r="AFW28" s="139"/>
      <c r="AFX28" s="139"/>
      <c r="AFY28" s="139"/>
      <c r="AFZ28" s="139"/>
      <c r="AGA28" s="139"/>
      <c r="AGB28" s="139"/>
      <c r="AGC28" s="139"/>
      <c r="AGD28" s="139"/>
      <c r="AGE28" s="139"/>
      <c r="AGF28" s="139"/>
      <c r="AGG28" s="139"/>
      <c r="AGH28" s="139"/>
      <c r="AGI28" s="139"/>
      <c r="AGJ28" s="139"/>
      <c r="AGK28" s="139"/>
      <c r="AGL28" s="139"/>
      <c r="AGM28" s="139"/>
      <c r="AGN28" s="139"/>
      <c r="AGO28" s="139"/>
      <c r="AGP28" s="139"/>
      <c r="AGQ28" s="139"/>
      <c r="AGR28" s="139"/>
      <c r="AGS28" s="139"/>
      <c r="AGT28" s="139"/>
      <c r="AGU28" s="139"/>
      <c r="AGV28" s="139"/>
      <c r="AGW28" s="139"/>
      <c r="AGX28" s="139"/>
      <c r="AGY28" s="139"/>
      <c r="AGZ28" s="139"/>
      <c r="AHA28" s="139"/>
      <c r="AHB28" s="139"/>
      <c r="AHC28" s="139"/>
      <c r="AHD28" s="139"/>
      <c r="AHE28" s="139"/>
      <c r="AHF28" s="139"/>
      <c r="AHG28" s="139"/>
      <c r="AHH28" s="139"/>
      <c r="AHI28" s="139"/>
      <c r="AHJ28" s="139"/>
      <c r="AHK28" s="139"/>
      <c r="AHL28" s="139"/>
      <c r="AHM28" s="139"/>
      <c r="AHN28" s="139"/>
      <c r="AHO28" s="139"/>
      <c r="AHP28" s="139"/>
      <c r="AHQ28" s="139"/>
      <c r="AHR28" s="139"/>
      <c r="AHS28" s="139"/>
      <c r="AHT28" s="139"/>
      <c r="AHU28" s="139"/>
      <c r="AHV28" s="139"/>
      <c r="AHW28" s="139"/>
      <c r="AHX28" s="139"/>
      <c r="AHY28" s="139"/>
      <c r="AHZ28" s="139"/>
      <c r="AIA28" s="139"/>
      <c r="AIB28" s="139"/>
      <c r="AIC28" s="139"/>
      <c r="AID28" s="139"/>
      <c r="AIE28" s="139"/>
      <c r="AIF28" s="139"/>
      <c r="AIG28" s="139"/>
      <c r="AIH28" s="139"/>
      <c r="AII28" s="139"/>
      <c r="AIJ28" s="139"/>
      <c r="AIK28" s="139"/>
      <c r="AIL28" s="139"/>
      <c r="AIM28" s="139"/>
      <c r="AIN28" s="139"/>
      <c r="AIO28" s="139"/>
      <c r="AIP28" s="139"/>
      <c r="AIQ28" s="139"/>
      <c r="AIR28" s="139"/>
      <c r="AIS28" s="139"/>
      <c r="AIT28" s="139"/>
      <c r="AIU28" s="139"/>
      <c r="AIV28" s="139"/>
      <c r="AIW28" s="139"/>
      <c r="AIX28" s="139"/>
      <c r="AIY28" s="139"/>
      <c r="AIZ28" s="139"/>
      <c r="AJA28" s="139"/>
      <c r="AJB28" s="139"/>
      <c r="AJC28" s="139"/>
      <c r="AJD28" s="139"/>
      <c r="AJE28" s="139"/>
      <c r="AJF28" s="139"/>
      <c r="AJG28" s="139"/>
      <c r="AJH28" s="139"/>
      <c r="AJI28" s="139"/>
      <c r="AJJ28" s="139"/>
      <c r="AJK28" s="139"/>
      <c r="AJL28" s="139"/>
      <c r="AJM28" s="139"/>
      <c r="AJN28" s="139"/>
      <c r="AJO28" s="139"/>
      <c r="AJP28" s="139"/>
      <c r="AJQ28" s="139"/>
      <c r="AJR28" s="139"/>
      <c r="AJS28" s="139"/>
      <c r="AJT28" s="139"/>
      <c r="AJU28" s="139"/>
      <c r="AJV28" s="139"/>
      <c r="AJW28" s="139"/>
      <c r="AJX28" s="139"/>
      <c r="AJY28" s="139"/>
      <c r="AJZ28" s="139"/>
      <c r="AKA28" s="139"/>
      <c r="AKB28" s="139"/>
      <c r="AKC28" s="139"/>
      <c r="AKD28" s="139"/>
      <c r="AKE28" s="139"/>
      <c r="AKF28" s="139"/>
      <c r="AKG28" s="139"/>
      <c r="AKH28" s="139"/>
      <c r="AKI28" s="139"/>
      <c r="AKJ28" s="139"/>
      <c r="AKK28" s="139"/>
      <c r="AKL28" s="139"/>
      <c r="AKM28" s="139"/>
      <c r="AKN28" s="139"/>
      <c r="AKO28" s="139"/>
      <c r="AKP28" s="139"/>
      <c r="AKQ28" s="139"/>
      <c r="AKR28" s="139"/>
      <c r="AKS28" s="139"/>
      <c r="AKT28" s="139"/>
      <c r="AKU28" s="139"/>
      <c r="AKV28" s="139"/>
      <c r="AKW28" s="139"/>
      <c r="AKX28" s="139"/>
      <c r="AKY28" s="139"/>
      <c r="AKZ28" s="139"/>
      <c r="ALA28" s="139"/>
      <c r="ALB28" s="139"/>
      <c r="ALC28" s="139"/>
      <c r="ALD28" s="139"/>
      <c r="ALE28" s="139"/>
      <c r="ALF28" s="139"/>
      <c r="ALG28" s="139"/>
      <c r="ALH28" s="139"/>
      <c r="ALI28" s="139"/>
      <c r="ALJ28" s="139"/>
      <c r="ALK28" s="139"/>
      <c r="ALL28" s="139"/>
      <c r="ALM28" s="139"/>
      <c r="ALN28" s="139"/>
      <c r="ALO28" s="139"/>
      <c r="ALP28" s="139"/>
      <c r="ALQ28" s="139"/>
      <c r="ALR28" s="139"/>
      <c r="ALS28" s="139"/>
      <c r="ALT28" s="139"/>
      <c r="ALU28" s="139"/>
      <c r="ALV28" s="139"/>
      <c r="ALW28" s="139"/>
      <c r="ALX28" s="139"/>
    </row>
    <row r="29" customFormat="false" ht="18" hidden="false" customHeight="true" outlineLevel="0" collapsed="false">
      <c r="B29" s="2"/>
      <c r="C29" s="2"/>
      <c r="D29" s="2"/>
      <c r="E29" s="2"/>
      <c r="F29" s="2"/>
      <c r="G29" s="2"/>
      <c r="H29" s="82"/>
      <c r="I29" s="2"/>
      <c r="J29" s="2"/>
      <c r="O29" s="2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D29" s="57"/>
      <c r="AE29" s="57"/>
      <c r="AF29" s="57"/>
      <c r="AG29" s="57"/>
      <c r="AH29" s="57"/>
      <c r="AS29" s="143"/>
      <c r="AT29" s="143"/>
      <c r="AU29" s="143"/>
      <c r="AV29" s="143"/>
      <c r="AW29" s="143"/>
    </row>
    <row r="30" customFormat="false" ht="39.75" hidden="false" customHeight="true" outlineLevel="0" collapsed="false">
      <c r="B30" s="47" t="s">
        <v>30</v>
      </c>
      <c r="C30" s="84" t="str">
        <f aca="false">'Base Caxias do Sul'!C19</f>
        <v>Oficial de Manutenção Predial</v>
      </c>
      <c r="D30" s="84" t="str">
        <f aca="false">'Base Caxias do Sul'!D19</f>
        <v>Ajudante (ref. SINAPI/88241)</v>
      </c>
      <c r="E30" s="144" t="str">
        <f aca="false">'Base Caxias do Sul'!E19</f>
        <v>Eletrotécnico (ref. SINAPI/88266)</v>
      </c>
      <c r="N30" s="145"/>
      <c r="O30" s="146"/>
      <c r="R30" s="85"/>
      <c r="Z30" s="85"/>
      <c r="AA30" s="85"/>
      <c r="AB30" s="85"/>
      <c r="AC30" s="85"/>
    </row>
    <row r="31" customFormat="false" ht="18" hidden="false" customHeight="true" outlineLevel="0" collapsed="false">
      <c r="B31" s="47"/>
      <c r="C31" s="26" t="n">
        <f aca="false">'Base Caxias do Sul'!C20</f>
        <v>26.519286</v>
      </c>
      <c r="D31" s="26" t="n">
        <f aca="false">'Base Caxias do Sul'!D20</f>
        <v>22.44</v>
      </c>
      <c r="E31" s="26" t="n">
        <f aca="false">'Base Caxias do Sul'!E20</f>
        <v>32.96</v>
      </c>
      <c r="N31" s="145"/>
      <c r="O31" s="146"/>
    </row>
    <row r="32" customFormat="false" ht="40.5" hidden="false" customHeight="true" outlineLevel="0" collapsed="false">
      <c r="B32" s="52" t="str">
        <f aca="false">'Base Caxias do Sul'!B21</f>
        <v>* Tabela SINAPI Janeiro/2025 (Desonerado)</v>
      </c>
      <c r="N32" s="146"/>
      <c r="O32" s="146"/>
    </row>
    <row r="33" customFormat="false" ht="14.25" hidden="false" customHeight="false" outlineLevel="0" collapsed="false">
      <c r="N33" s="146"/>
      <c r="O33" s="146"/>
    </row>
    <row r="34" customFormat="false" ht="14.25" hidden="false" customHeight="false" outlineLevel="0" collapsed="false">
      <c r="N34" s="146"/>
      <c r="O34" s="146"/>
    </row>
    <row r="35" customFormat="false" ht="15.75" hidden="false" customHeight="true" outlineLevel="0" collapsed="false">
      <c r="N35" s="146"/>
      <c r="O35" s="146"/>
    </row>
    <row r="36" customFormat="false" ht="14.25" hidden="false" customHeight="false" outlineLevel="0" collapsed="false">
      <c r="N36" s="146"/>
      <c r="O36" s="146"/>
    </row>
    <row r="37" customFormat="false" ht="14.25" hidden="false" customHeight="false" outlineLevel="0" collapsed="false">
      <c r="N37" s="146"/>
      <c r="O37" s="146"/>
    </row>
    <row r="38" customFormat="false" ht="14.25" hidden="false" customHeight="false" outlineLevel="0" collapsed="false">
      <c r="N38" s="146"/>
      <c r="O38" s="146"/>
    </row>
    <row r="39" customFormat="false" ht="14.25" hidden="false" customHeight="false" outlineLevel="0" collapsed="false">
      <c r="N39" s="146"/>
      <c r="O39" s="146"/>
    </row>
    <row r="40" customFormat="false" ht="14.25" hidden="false" customHeight="false" outlineLevel="0" collapsed="false">
      <c r="N40" s="146"/>
      <c r="O40" s="146"/>
    </row>
    <row r="65538" customFormat="false" ht="12.75" hidden="false" customHeight="true" outlineLevel="0" collapsed="false"/>
    <row r="65539" customFormat="false" ht="12.75" hidden="false" customHeight="true" outlineLevel="0" collapsed="false"/>
    <row r="65540" customFormat="false" ht="12.75" hidden="false" customHeight="true" outlineLevel="0" collapsed="false"/>
    <row r="1048576" customFormat="false" ht="12.75" hidden="false" customHeight="false" outlineLevel="0" collapsed="false"/>
  </sheetData>
  <mergeCells count="44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28:AJ28"/>
    <mergeCell ref="B30:B31"/>
    <mergeCell ref="N30:N31"/>
  </mergeCells>
  <printOptions headings="false" gridLines="false" gridLinesSet="true" horizontalCentered="true" verticalCentered="false"/>
  <pageMargins left="0.0576388888888889" right="0.0472222222222222" top="0.332638888888889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S1048576"/>
  <sheetViews>
    <sheetView showFormulas="false" showGridLines="false" showRowColHeaders="true" showZeros="true" rightToLeft="false" tabSelected="false" showOutlineSymbols="true" defaultGridColor="true" view="normal" topLeftCell="G2" colorId="64" zoomScale="100" zoomScaleNormal="100" zoomScalePageLayoutView="100" workbookViewId="0">
      <selection pane="topLeft" activeCell="S10" activeCellId="0" sqref="S10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8" width="12.62"/>
    <col collapsed="false" customWidth="true" hidden="false" outlineLevel="0" max="3" min="3" style="88" width="32.62"/>
    <col collapsed="false" customWidth="true" hidden="false" outlineLevel="0" max="17" min="4" style="88" width="9.62"/>
    <col collapsed="false" customWidth="true" hidden="false" outlineLevel="0" max="18" min="18" style="88" width="10.75"/>
    <col collapsed="false" customWidth="true" hidden="false" outlineLevel="0" max="19" min="19" style="88" width="14.87"/>
    <col collapsed="false" customWidth="true" hidden="false" outlineLevel="0" max="66" min="20" style="88" width="10.75"/>
    <col collapsed="false" customWidth="true" hidden="false" outlineLevel="0" max="257" min="67" style="87" width="10.75"/>
    <col collapsed="false" customWidth="true" hidden="false" outlineLevel="0" max="1024" min="258" style="1" width="10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0" t="str">
        <f aca="false">"DESLOCAMENTO BASE "&amp;Resumo!B6</f>
        <v>DESLOCAMENTO BASE NOVO HAMBURGO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customFormat="false" ht="15" hidden="false" customHeight="true" outlineLevel="0" collapsed="false"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</row>
    <row r="4" customFormat="false" ht="38.25" hidden="false" customHeight="false" outlineLevel="0" collapsed="false">
      <c r="B4" s="23" t="s">
        <v>100</v>
      </c>
      <c r="C4" s="23" t="str">
        <f aca="false">"Rota (saída e retorno "&amp;Resumo!B6&amp;")"</f>
        <v>Rota (saída e retorno NOVO HAMBURGO)</v>
      </c>
      <c r="D4" s="23" t="s">
        <v>101</v>
      </c>
      <c r="E4" s="23" t="s">
        <v>102</v>
      </c>
      <c r="F4" s="23" t="s">
        <v>103</v>
      </c>
      <c r="G4" s="23" t="s">
        <v>104</v>
      </c>
      <c r="H4" s="23" t="s">
        <v>105</v>
      </c>
      <c r="I4" s="23" t="s">
        <v>106</v>
      </c>
      <c r="J4" s="23" t="s">
        <v>107</v>
      </c>
      <c r="K4" s="23" t="s">
        <v>108</v>
      </c>
      <c r="L4" s="23" t="s">
        <v>109</v>
      </c>
      <c r="M4" s="90" t="s">
        <v>151</v>
      </c>
      <c r="N4" s="23" t="s">
        <v>111</v>
      </c>
      <c r="O4" s="23" t="s">
        <v>112</v>
      </c>
      <c r="P4" s="23" t="s">
        <v>113</v>
      </c>
      <c r="Q4" s="23" t="s">
        <v>67</v>
      </c>
      <c r="R4" s="34" t="s">
        <v>114</v>
      </c>
      <c r="S4" s="34" t="s">
        <v>115</v>
      </c>
    </row>
    <row r="5" customFormat="false" ht="15.75" hidden="false" customHeight="true" outlineLevel="0" collapsed="false">
      <c r="B5" s="51" t="n">
        <v>1</v>
      </c>
      <c r="C5" s="91" t="s">
        <v>130</v>
      </c>
      <c r="D5" s="92" t="n">
        <v>0</v>
      </c>
      <c r="E5" s="92" t="n">
        <v>0</v>
      </c>
      <c r="F5" s="92" t="n">
        <v>0</v>
      </c>
      <c r="G5" s="93" t="n">
        <f aca="false">SUM(D5:F5)</f>
        <v>0</v>
      </c>
      <c r="H5" s="147" t="n">
        <v>0</v>
      </c>
      <c r="I5" s="147" t="n">
        <v>0</v>
      </c>
      <c r="J5" s="147" t="n">
        <v>0</v>
      </c>
      <c r="K5" s="95" t="n">
        <f aca="false">SUM(H5:J5)</f>
        <v>0</v>
      </c>
      <c r="L5" s="148" t="n">
        <f aca="false">K5/60</f>
        <v>0</v>
      </c>
      <c r="M5" s="149" t="n">
        <v>0</v>
      </c>
      <c r="N5" s="150" t="n">
        <v>1</v>
      </c>
      <c r="O5" s="151" t="n">
        <f aca="false">L5/N5</f>
        <v>0</v>
      </c>
      <c r="P5" s="152" t="n">
        <v>0</v>
      </c>
      <c r="Q5" s="152" t="n">
        <v>0</v>
      </c>
      <c r="R5" s="101" t="str">
        <f aca="false">INDEX('Base Novo Hamburgo'!$K$7:$K$27,MATCH('Desl. Base Novo Hamburgo'!C5,'Base Novo Hamburgo'!$B$7:$B$27,0))</f>
        <v>NÃO</v>
      </c>
      <c r="S5" s="101" t="n">
        <v>0</v>
      </c>
    </row>
    <row r="6" customFormat="false" ht="15.75" hidden="false" customHeight="true" outlineLevel="0" collapsed="false">
      <c r="B6" s="51"/>
      <c r="C6" s="91" t="s">
        <v>131</v>
      </c>
      <c r="D6" s="92" t="n">
        <v>1.3</v>
      </c>
      <c r="E6" s="92" t="n">
        <v>1.4</v>
      </c>
      <c r="F6" s="92" t="n">
        <v>0</v>
      </c>
      <c r="G6" s="93" t="n">
        <f aca="false">SUM(D6:F6)</f>
        <v>2.7</v>
      </c>
      <c r="H6" s="147" t="n">
        <v>6</v>
      </c>
      <c r="I6" s="147" t="n">
        <v>6</v>
      </c>
      <c r="J6" s="147" t="n">
        <v>0</v>
      </c>
      <c r="K6" s="95" t="n">
        <f aca="false">SUM(H6:J6)</f>
        <v>12</v>
      </c>
      <c r="L6" s="148" t="n">
        <f aca="false">K6/60</f>
        <v>0.2</v>
      </c>
      <c r="M6" s="149" t="n">
        <v>0</v>
      </c>
      <c r="N6" s="150" t="n">
        <v>1</v>
      </c>
      <c r="O6" s="151" t="n">
        <f aca="false">L6/N6</f>
        <v>0.2</v>
      </c>
      <c r="P6" s="152" t="n">
        <v>0</v>
      </c>
      <c r="Q6" s="152" t="n">
        <v>0</v>
      </c>
      <c r="R6" s="101" t="str">
        <f aca="false">INDEX('Base Novo Hamburgo'!$K$7:$K$27,MATCH('Desl. Base Novo Hamburgo'!C6,'Base Novo Hamburgo'!$B$7:$B$27,0))</f>
        <v>NÃO</v>
      </c>
      <c r="S6" s="101" t="n">
        <v>0</v>
      </c>
    </row>
    <row r="7" customFormat="false" ht="15.75" hidden="false" customHeight="true" outlineLevel="0" collapsed="false">
      <c r="B7" s="51" t="n">
        <v>2</v>
      </c>
      <c r="C7" s="91" t="s">
        <v>132</v>
      </c>
      <c r="D7" s="92" t="n">
        <v>8</v>
      </c>
      <c r="E7" s="92" t="n">
        <v>8.5</v>
      </c>
      <c r="F7" s="92" t="n">
        <v>1.2</v>
      </c>
      <c r="G7" s="102" t="n">
        <f aca="false">SUM(D7:F7)</f>
        <v>17.7</v>
      </c>
      <c r="H7" s="147" t="n">
        <v>14</v>
      </c>
      <c r="I7" s="147" t="n">
        <v>15</v>
      </c>
      <c r="J7" s="147" t="n">
        <v>3</v>
      </c>
      <c r="K7" s="104" t="n">
        <f aca="false">SUM(H7:J7)</f>
        <v>32</v>
      </c>
      <c r="L7" s="151" t="n">
        <f aca="false">K7/60</f>
        <v>0.533333333333333</v>
      </c>
      <c r="M7" s="149" t="n">
        <v>0</v>
      </c>
      <c r="N7" s="150" t="n">
        <v>2</v>
      </c>
      <c r="O7" s="151" t="n">
        <f aca="false">L7/N7</f>
        <v>0.266666666666667</v>
      </c>
      <c r="P7" s="153" t="n">
        <v>0</v>
      </c>
      <c r="Q7" s="153" t="n">
        <v>0</v>
      </c>
      <c r="R7" s="101" t="str">
        <f aca="false">INDEX('Base Novo Hamburgo'!$K$7:$K$27,MATCH('Desl. Base Novo Hamburgo'!C7,'Base Novo Hamburgo'!$B$7:$B$27,0))</f>
        <v>SIM</v>
      </c>
      <c r="S7" s="101" t="n">
        <v>1</v>
      </c>
    </row>
    <row r="8" customFormat="false" ht="15.75" hidden="false" customHeight="true" outlineLevel="0" collapsed="false">
      <c r="B8" s="51"/>
      <c r="C8" s="91" t="s">
        <v>133</v>
      </c>
      <c r="D8" s="92"/>
      <c r="E8" s="92"/>
      <c r="F8" s="92"/>
      <c r="G8" s="102"/>
      <c r="H8" s="147"/>
      <c r="I8" s="147"/>
      <c r="J8" s="147"/>
      <c r="K8" s="104"/>
      <c r="L8" s="151"/>
      <c r="M8" s="149"/>
      <c r="N8" s="150"/>
      <c r="O8" s="151" t="n">
        <f aca="false">O7</f>
        <v>0.266666666666667</v>
      </c>
      <c r="P8" s="153" t="n">
        <v>0</v>
      </c>
      <c r="Q8" s="153" t="n">
        <v>0</v>
      </c>
      <c r="R8" s="101" t="str">
        <f aca="false">INDEX('Base Novo Hamburgo'!$K$7:$K$27,MATCH('Desl. Base Novo Hamburgo'!C8,'Base Novo Hamburgo'!$B$7:$B$27,0))</f>
        <v>SIM</v>
      </c>
      <c r="S8" s="101" t="n">
        <v>1</v>
      </c>
    </row>
    <row r="9" customFormat="false" ht="15.75" hidden="false" customHeight="true" outlineLevel="0" collapsed="false">
      <c r="B9" s="51" t="n">
        <v>3</v>
      </c>
      <c r="C9" s="91" t="s">
        <v>134</v>
      </c>
      <c r="D9" s="92" t="n">
        <v>55.4</v>
      </c>
      <c r="E9" s="92" t="n">
        <v>57.2</v>
      </c>
      <c r="F9" s="92" t="n">
        <v>0</v>
      </c>
      <c r="G9" s="102" t="n">
        <f aca="false">SUM(D9:F9)</f>
        <v>112.6</v>
      </c>
      <c r="H9" s="147" t="n">
        <v>57</v>
      </c>
      <c r="I9" s="147" t="n">
        <v>59</v>
      </c>
      <c r="J9" s="147" t="n">
        <v>0</v>
      </c>
      <c r="K9" s="104" t="n">
        <f aca="false">SUM(H9:J9)</f>
        <v>116</v>
      </c>
      <c r="L9" s="151" t="n">
        <f aca="false">K9/60</f>
        <v>1.93333333333333</v>
      </c>
      <c r="M9" s="149" t="n">
        <v>6.5</v>
      </c>
      <c r="N9" s="150" t="n">
        <v>1</v>
      </c>
      <c r="O9" s="151" t="n">
        <f aca="false">L9/N9</f>
        <v>1.93333333333333</v>
      </c>
      <c r="P9" s="154" t="n">
        <f aca="false">M9/N9</f>
        <v>6.5</v>
      </c>
      <c r="Q9" s="153" t="n">
        <v>0</v>
      </c>
      <c r="R9" s="101" t="str">
        <f aca="false">INDEX('Base Novo Hamburgo'!$K$7:$K$27,MATCH('Desl. Base Novo Hamburgo'!C9,'Base Novo Hamburgo'!$B$7:$B$27,0))</f>
        <v>NÃO</v>
      </c>
      <c r="S9" s="101" t="n">
        <v>0</v>
      </c>
    </row>
    <row r="10" customFormat="false" ht="15.75" hidden="false" customHeight="true" outlineLevel="0" collapsed="false">
      <c r="B10" s="51" t="n">
        <v>4</v>
      </c>
      <c r="C10" s="91" t="s">
        <v>135</v>
      </c>
      <c r="D10" s="92" t="n">
        <v>17.6</v>
      </c>
      <c r="E10" s="92" t="n">
        <f aca="false">27.9-D10</f>
        <v>10.3</v>
      </c>
      <c r="F10" s="92" t="n">
        <v>15.1</v>
      </c>
      <c r="G10" s="102" t="n">
        <f aca="false">SUM(D10:F10)</f>
        <v>43</v>
      </c>
      <c r="H10" s="147" t="n">
        <v>21</v>
      </c>
      <c r="I10" s="147" t="n">
        <v>17</v>
      </c>
      <c r="J10" s="147" t="n">
        <v>19</v>
      </c>
      <c r="K10" s="104" t="n">
        <f aca="false">SUM(H10:J10)</f>
        <v>57</v>
      </c>
      <c r="L10" s="151" t="n">
        <f aca="false">K10/60</f>
        <v>0.95</v>
      </c>
      <c r="M10" s="149" t="n">
        <v>0</v>
      </c>
      <c r="N10" s="150" t="n">
        <v>2</v>
      </c>
      <c r="O10" s="151" t="n">
        <f aca="false">L10/N10</f>
        <v>0.475</v>
      </c>
      <c r="P10" s="153" t="n">
        <v>0</v>
      </c>
      <c r="Q10" s="153" t="n">
        <v>0</v>
      </c>
      <c r="R10" s="101" t="str">
        <f aca="false">INDEX('Base Novo Hamburgo'!$K$7:$K$27,MATCH('Desl. Base Novo Hamburgo'!C10,'Base Novo Hamburgo'!$B$7:$B$27,0))</f>
        <v>SIM</v>
      </c>
      <c r="S10" s="101" t="n">
        <v>1</v>
      </c>
    </row>
    <row r="11" customFormat="false" ht="15.75" hidden="false" customHeight="true" outlineLevel="0" collapsed="false">
      <c r="B11" s="51"/>
      <c r="C11" s="91" t="s">
        <v>136</v>
      </c>
      <c r="D11" s="92"/>
      <c r="E11" s="92"/>
      <c r="F11" s="92"/>
      <c r="G11" s="102"/>
      <c r="H11" s="147"/>
      <c r="I11" s="147"/>
      <c r="J11" s="147"/>
      <c r="K11" s="104"/>
      <c r="L11" s="151"/>
      <c r="M11" s="149"/>
      <c r="N11" s="150"/>
      <c r="O11" s="151" t="n">
        <f aca="false">O10</f>
        <v>0.475</v>
      </c>
      <c r="P11" s="153" t="n">
        <v>0</v>
      </c>
      <c r="Q11" s="153" t="n">
        <v>0</v>
      </c>
      <c r="R11" s="101" t="str">
        <f aca="false">INDEX('Base Novo Hamburgo'!$K$7:$K$27,MATCH('Desl. Base Novo Hamburgo'!C11,'Base Novo Hamburgo'!$B$7:$B$27,0))</f>
        <v>SIM</v>
      </c>
      <c r="S11" s="101" t="n">
        <v>1</v>
      </c>
    </row>
    <row r="12" customFormat="false" ht="15.75" hidden="false" customHeight="true" outlineLevel="0" collapsed="false">
      <c r="B12" s="51" t="n">
        <v>5</v>
      </c>
      <c r="C12" s="91" t="s">
        <v>137</v>
      </c>
      <c r="D12" s="92" t="n">
        <v>17</v>
      </c>
      <c r="E12" s="92" t="n">
        <v>15.3</v>
      </c>
      <c r="F12" s="92" t="n">
        <v>12</v>
      </c>
      <c r="G12" s="102" t="n">
        <f aca="false">SUM(D12:F12)</f>
        <v>44.3</v>
      </c>
      <c r="H12" s="147" t="n">
        <v>18</v>
      </c>
      <c r="I12" s="147" t="n">
        <v>25</v>
      </c>
      <c r="J12" s="147" t="n">
        <v>16</v>
      </c>
      <c r="K12" s="104" t="n">
        <f aca="false">SUM(H12:J12)</f>
        <v>59</v>
      </c>
      <c r="L12" s="151" t="n">
        <f aca="false">K12/60</f>
        <v>0.983333333333333</v>
      </c>
      <c r="M12" s="149" t="n">
        <v>0</v>
      </c>
      <c r="N12" s="150" t="n">
        <v>2</v>
      </c>
      <c r="O12" s="151" t="n">
        <f aca="false">L12/N12</f>
        <v>0.491666666666667</v>
      </c>
      <c r="P12" s="153" t="n">
        <v>0</v>
      </c>
      <c r="Q12" s="153" t="n">
        <v>0</v>
      </c>
      <c r="R12" s="101" t="str">
        <f aca="false">INDEX('Base Novo Hamburgo'!$K$7:$K$27,MATCH('Desl. Base Novo Hamburgo'!C12,'Base Novo Hamburgo'!$B$7:$B$27,0))</f>
        <v>NÃO</v>
      </c>
      <c r="S12" s="101" t="n">
        <v>1</v>
      </c>
    </row>
    <row r="13" customFormat="false" ht="15.75" hidden="false" customHeight="true" outlineLevel="0" collapsed="false">
      <c r="B13" s="51"/>
      <c r="C13" s="91" t="s">
        <v>138</v>
      </c>
      <c r="D13" s="92"/>
      <c r="E13" s="92"/>
      <c r="F13" s="92"/>
      <c r="G13" s="102"/>
      <c r="H13" s="147"/>
      <c r="I13" s="147"/>
      <c r="J13" s="147"/>
      <c r="K13" s="104"/>
      <c r="L13" s="151"/>
      <c r="M13" s="149"/>
      <c r="N13" s="150"/>
      <c r="O13" s="151" t="n">
        <f aca="false">O12</f>
        <v>0.491666666666667</v>
      </c>
      <c r="P13" s="153" t="n">
        <v>0</v>
      </c>
      <c r="Q13" s="153" t="n">
        <v>0</v>
      </c>
      <c r="R13" s="101" t="str">
        <f aca="false">INDEX('Base Novo Hamburgo'!$K$7:$K$27,MATCH('Desl. Base Novo Hamburgo'!C13,'Base Novo Hamburgo'!$B$7:$B$27,0))</f>
        <v>SIM</v>
      </c>
      <c r="S13" s="101" t="n">
        <v>1</v>
      </c>
    </row>
    <row r="14" customFormat="false" ht="15.75" hidden="false" customHeight="true" outlineLevel="0" collapsed="false">
      <c r="B14" s="51" t="n">
        <v>6</v>
      </c>
      <c r="C14" s="91" t="s">
        <v>139</v>
      </c>
      <c r="D14" s="92" t="n">
        <v>42.9</v>
      </c>
      <c r="E14" s="92" t="n">
        <f aca="false">61.5-D14</f>
        <v>18.6</v>
      </c>
      <c r="F14" s="92" t="n">
        <v>35.3</v>
      </c>
      <c r="G14" s="102" t="n">
        <f aca="false">SUM(D14:F14)</f>
        <v>96.8</v>
      </c>
      <c r="H14" s="147" t="n">
        <v>43</v>
      </c>
      <c r="I14" s="147" t="n">
        <f aca="false">71-H14</f>
        <v>28</v>
      </c>
      <c r="J14" s="147" t="n">
        <v>36</v>
      </c>
      <c r="K14" s="104" t="n">
        <f aca="false">SUM(H14:J14)</f>
        <v>107</v>
      </c>
      <c r="L14" s="151" t="n">
        <f aca="false">K14/60</f>
        <v>1.78333333333333</v>
      </c>
      <c r="M14" s="149" t="n">
        <v>18</v>
      </c>
      <c r="N14" s="150" t="n">
        <v>2</v>
      </c>
      <c r="O14" s="151" t="n">
        <f aca="false">L14/N14</f>
        <v>0.891666666666667</v>
      </c>
      <c r="P14" s="154" t="n">
        <f aca="false">M14/N14</f>
        <v>9</v>
      </c>
      <c r="Q14" s="153" t="n">
        <v>0</v>
      </c>
      <c r="R14" s="101" t="str">
        <f aca="false">INDEX('Base Novo Hamburgo'!$K$7:$K$27,MATCH('Desl. Base Novo Hamburgo'!C14,'Base Novo Hamburgo'!$B$7:$B$27,0))</f>
        <v>SIM</v>
      </c>
      <c r="S14" s="101" t="n">
        <v>1</v>
      </c>
    </row>
    <row r="15" customFormat="false" ht="15.75" hidden="false" customHeight="true" outlineLevel="0" collapsed="false">
      <c r="B15" s="51"/>
      <c r="C15" s="91" t="s">
        <v>140</v>
      </c>
      <c r="D15" s="92"/>
      <c r="E15" s="92"/>
      <c r="F15" s="92"/>
      <c r="G15" s="102"/>
      <c r="H15" s="147"/>
      <c r="I15" s="147"/>
      <c r="J15" s="147"/>
      <c r="K15" s="104"/>
      <c r="L15" s="151"/>
      <c r="M15" s="149"/>
      <c r="N15" s="150"/>
      <c r="O15" s="151" t="n">
        <f aca="false">O14</f>
        <v>0.891666666666667</v>
      </c>
      <c r="P15" s="154" t="n">
        <f aca="false">M14/N14</f>
        <v>9</v>
      </c>
      <c r="Q15" s="153" t="n">
        <v>0</v>
      </c>
      <c r="R15" s="101" t="str">
        <f aca="false">INDEX('Base Novo Hamburgo'!$K$7:$K$27,MATCH('Desl. Base Novo Hamburgo'!C15,'Base Novo Hamburgo'!$B$7:$B$27,0))</f>
        <v>SIM</v>
      </c>
      <c r="S15" s="101" t="n">
        <v>1</v>
      </c>
    </row>
    <row r="16" customFormat="false" ht="15.75" hidden="false" customHeight="true" outlineLevel="0" collapsed="false">
      <c r="B16" s="51" t="n">
        <v>7</v>
      </c>
      <c r="C16" s="91" t="s">
        <v>141</v>
      </c>
      <c r="D16" s="92" t="n">
        <v>106</v>
      </c>
      <c r="E16" s="92" t="n">
        <v>7</v>
      </c>
      <c r="F16" s="92" t="n">
        <v>109</v>
      </c>
      <c r="G16" s="102" t="n">
        <f aca="false">SUM(D16:F16)</f>
        <v>222</v>
      </c>
      <c r="H16" s="147" t="n">
        <v>90</v>
      </c>
      <c r="I16" s="147" t="n">
        <v>5</v>
      </c>
      <c r="J16" s="147" t="n">
        <v>96</v>
      </c>
      <c r="K16" s="104" t="n">
        <f aca="false">SUM(H16:J16)</f>
        <v>191</v>
      </c>
      <c r="L16" s="151" t="n">
        <f aca="false">K16/60</f>
        <v>3.18333333333333</v>
      </c>
      <c r="M16" s="149" t="n">
        <v>25.5</v>
      </c>
      <c r="N16" s="150" t="n">
        <v>2</v>
      </c>
      <c r="O16" s="151" t="n">
        <f aca="false">L16/N16</f>
        <v>1.59166666666667</v>
      </c>
      <c r="P16" s="154" t="n">
        <f aca="false">M16/N16</f>
        <v>12.75</v>
      </c>
      <c r="Q16" s="153" t="n">
        <v>0</v>
      </c>
      <c r="R16" s="101" t="str">
        <f aca="false">INDEX('Base Novo Hamburgo'!$K$7:$K$27,MATCH('Desl. Base Novo Hamburgo'!C16,'Base Novo Hamburgo'!$B$7:$B$27,0))</f>
        <v>SIM</v>
      </c>
      <c r="S16" s="101" t="n">
        <v>1</v>
      </c>
    </row>
    <row r="17" customFormat="false" ht="15.75" hidden="false" customHeight="true" outlineLevel="0" collapsed="false">
      <c r="B17" s="51"/>
      <c r="C17" s="91" t="s">
        <v>142</v>
      </c>
      <c r="D17" s="92"/>
      <c r="E17" s="92"/>
      <c r="F17" s="92"/>
      <c r="G17" s="102"/>
      <c r="H17" s="147"/>
      <c r="I17" s="147"/>
      <c r="J17" s="147"/>
      <c r="K17" s="104"/>
      <c r="L17" s="151"/>
      <c r="M17" s="149"/>
      <c r="N17" s="150"/>
      <c r="O17" s="151" t="n">
        <f aca="false">O16</f>
        <v>1.59166666666667</v>
      </c>
      <c r="P17" s="154" t="n">
        <f aca="false">M16/N16</f>
        <v>12.75</v>
      </c>
      <c r="Q17" s="153" t="n">
        <v>0</v>
      </c>
      <c r="R17" s="101" t="str">
        <f aca="false">INDEX('Base Novo Hamburgo'!$K$7:$K$27,MATCH('Desl. Base Novo Hamburgo'!C17,'Base Novo Hamburgo'!$B$7:$B$27,0))</f>
        <v>NÃO</v>
      </c>
      <c r="S17" s="101" t="n">
        <v>1</v>
      </c>
    </row>
    <row r="18" customFormat="false" ht="15.75" hidden="false" customHeight="true" outlineLevel="0" collapsed="false">
      <c r="B18" s="51" t="n">
        <v>8</v>
      </c>
      <c r="C18" s="91" t="s">
        <v>143</v>
      </c>
      <c r="D18" s="92" t="n">
        <v>137</v>
      </c>
      <c r="E18" s="92" t="n">
        <f aca="false">174-D18</f>
        <v>37</v>
      </c>
      <c r="F18" s="92" t="n">
        <v>102</v>
      </c>
      <c r="G18" s="102" t="n">
        <f aca="false">SUM(D18:F18)</f>
        <v>276</v>
      </c>
      <c r="H18" s="147" t="n">
        <v>119</v>
      </c>
      <c r="I18" s="147" t="n">
        <f aca="false">173-H18</f>
        <v>54</v>
      </c>
      <c r="J18" s="147" t="n">
        <v>90</v>
      </c>
      <c r="K18" s="104" t="n">
        <f aca="false">SUM(H18:J18)</f>
        <v>263</v>
      </c>
      <c r="L18" s="151" t="n">
        <f aca="false">K18/60</f>
        <v>4.38333333333333</v>
      </c>
      <c r="M18" s="149" t="n">
        <v>25.5</v>
      </c>
      <c r="N18" s="150" t="n">
        <v>2</v>
      </c>
      <c r="O18" s="151" t="n">
        <f aca="false">L18/N18</f>
        <v>2.19166666666667</v>
      </c>
      <c r="P18" s="154" t="n">
        <f aca="false">M18/N18</f>
        <v>12.75</v>
      </c>
      <c r="Q18" s="153" t="n">
        <v>0</v>
      </c>
      <c r="R18" s="101" t="str">
        <f aca="false">INDEX('Base Novo Hamburgo'!$K$7:$K$27,MATCH('Desl. Base Novo Hamburgo'!C18,'Base Novo Hamburgo'!$B$7:$B$27,0))</f>
        <v>SIM</v>
      </c>
      <c r="S18" s="101" t="n">
        <v>1</v>
      </c>
    </row>
    <row r="19" customFormat="false" ht="15.75" hidden="false" customHeight="true" outlineLevel="0" collapsed="false">
      <c r="B19" s="51"/>
      <c r="C19" s="91" t="s">
        <v>144</v>
      </c>
      <c r="D19" s="92"/>
      <c r="E19" s="92"/>
      <c r="F19" s="92"/>
      <c r="G19" s="102"/>
      <c r="H19" s="147"/>
      <c r="I19" s="147"/>
      <c r="J19" s="147"/>
      <c r="K19" s="104"/>
      <c r="L19" s="151"/>
      <c r="M19" s="149"/>
      <c r="N19" s="150"/>
      <c r="O19" s="151" t="n">
        <f aca="false">O18</f>
        <v>2.19166666666667</v>
      </c>
      <c r="P19" s="154" t="n">
        <f aca="false">M18/N18</f>
        <v>12.75</v>
      </c>
      <c r="Q19" s="153" t="n">
        <v>0</v>
      </c>
      <c r="R19" s="101" t="str">
        <f aca="false">INDEX('Base Novo Hamburgo'!$K$7:$K$27,MATCH('Desl. Base Novo Hamburgo'!C19,'Base Novo Hamburgo'!$B$7:$B$27,0))</f>
        <v>NÃO</v>
      </c>
      <c r="S19" s="101" t="n">
        <v>1</v>
      </c>
    </row>
    <row r="20" customFormat="false" ht="15.75" hidden="false" customHeight="true" outlineLevel="0" collapsed="false">
      <c r="B20" s="51" t="n">
        <v>9</v>
      </c>
      <c r="C20" s="91" t="s">
        <v>145</v>
      </c>
      <c r="D20" s="155" t="n">
        <v>38.9</v>
      </c>
      <c r="E20" s="155" t="n">
        <f aca="false">83.2-D20</f>
        <v>44.3</v>
      </c>
      <c r="F20" s="155" t="n">
        <v>81</v>
      </c>
      <c r="G20" s="102" t="n">
        <f aca="false">SUM(D20:F20)</f>
        <v>164.2</v>
      </c>
      <c r="H20" s="156" t="n">
        <v>36</v>
      </c>
      <c r="I20" s="156" t="n">
        <f aca="false">81-H20</f>
        <v>45</v>
      </c>
      <c r="J20" s="156" t="n">
        <v>74</v>
      </c>
      <c r="K20" s="104" t="n">
        <f aca="false">SUM(H20:J20)</f>
        <v>155</v>
      </c>
      <c r="L20" s="148" t="n">
        <f aca="false">K20/60</f>
        <v>2.58333333333333</v>
      </c>
      <c r="M20" s="149" t="n">
        <v>19.1</v>
      </c>
      <c r="N20" s="157" t="n">
        <v>2</v>
      </c>
      <c r="O20" s="151" t="n">
        <f aca="false">L20/N20</f>
        <v>1.29166666666667</v>
      </c>
      <c r="P20" s="154" t="n">
        <f aca="false">M20/N20</f>
        <v>9.55</v>
      </c>
      <c r="Q20" s="153" t="n">
        <v>0</v>
      </c>
      <c r="R20" s="101" t="str">
        <f aca="false">INDEX('Base Novo Hamburgo'!$K$7:$K$27,MATCH('Desl. Base Novo Hamburgo'!C20,'Base Novo Hamburgo'!$B$7:$B$27,0))</f>
        <v>SIM</v>
      </c>
      <c r="S20" s="101" t="n">
        <v>1</v>
      </c>
    </row>
    <row r="21" customFormat="false" ht="15.75" hidden="false" customHeight="true" outlineLevel="0" collapsed="false">
      <c r="B21" s="51"/>
      <c r="C21" s="91" t="s">
        <v>146</v>
      </c>
      <c r="D21" s="155"/>
      <c r="E21" s="155"/>
      <c r="F21" s="155"/>
      <c r="G21" s="102"/>
      <c r="H21" s="156"/>
      <c r="I21" s="156"/>
      <c r="J21" s="156"/>
      <c r="K21" s="104"/>
      <c r="L21" s="148"/>
      <c r="M21" s="149"/>
      <c r="N21" s="157"/>
      <c r="O21" s="151" t="n">
        <f aca="false">O20</f>
        <v>1.29166666666667</v>
      </c>
      <c r="P21" s="154" t="n">
        <f aca="false">M20/N20</f>
        <v>9.55</v>
      </c>
      <c r="Q21" s="153" t="n">
        <v>0</v>
      </c>
      <c r="R21" s="101" t="str">
        <f aca="false">INDEX('Base Novo Hamburgo'!$K$7:$K$27,MATCH('Desl. Base Novo Hamburgo'!C21,'Base Novo Hamburgo'!$B$7:$B$27,0))</f>
        <v>NÃO</v>
      </c>
      <c r="S21" s="101" t="n">
        <v>1</v>
      </c>
    </row>
    <row r="22" customFormat="false" ht="15.75" hidden="false" customHeight="true" outlineLevel="0" collapsed="false">
      <c r="B22" s="51" t="n">
        <v>10</v>
      </c>
      <c r="C22" s="91" t="s">
        <v>147</v>
      </c>
      <c r="D22" s="92" t="n">
        <v>117</v>
      </c>
      <c r="E22" s="92" t="n">
        <v>116.5</v>
      </c>
      <c r="F22" s="92" t="n">
        <v>0</v>
      </c>
      <c r="G22" s="102" t="n">
        <f aca="false">SUM(D22:F22)</f>
        <v>233.5</v>
      </c>
      <c r="H22" s="147" t="n">
        <v>88</v>
      </c>
      <c r="I22" s="147" t="n">
        <v>89</v>
      </c>
      <c r="J22" s="147" t="n">
        <v>0</v>
      </c>
      <c r="K22" s="104" t="n">
        <f aca="false">SUM(H22:J22)</f>
        <v>177</v>
      </c>
      <c r="L22" s="151" t="n">
        <f aca="false">K22/60</f>
        <v>2.95</v>
      </c>
      <c r="M22" s="149" t="n">
        <v>22</v>
      </c>
      <c r="N22" s="150" t="n">
        <v>1</v>
      </c>
      <c r="O22" s="151" t="n">
        <f aca="false">L22</f>
        <v>2.95</v>
      </c>
      <c r="P22" s="149" t="n">
        <f aca="false">M22</f>
        <v>22</v>
      </c>
      <c r="Q22" s="153" t="n">
        <v>0</v>
      </c>
      <c r="R22" s="101" t="str">
        <f aca="false">INDEX('Base Novo Hamburgo'!$K$7:$K$27,MATCH('Desl. Base Novo Hamburgo'!C22,'Base Novo Hamburgo'!$B$7:$B$27,0))</f>
        <v>SIM</v>
      </c>
      <c r="S22" s="101" t="n">
        <v>1</v>
      </c>
    </row>
    <row r="23" customFormat="false" ht="15.75" hidden="false" customHeight="true" outlineLevel="0" collapsed="false">
      <c r="B23" s="51" t="n">
        <v>11</v>
      </c>
      <c r="C23" s="91" t="s">
        <v>148</v>
      </c>
      <c r="D23" s="155" t="n">
        <v>117</v>
      </c>
      <c r="E23" s="155" t="n">
        <v>35</v>
      </c>
      <c r="F23" s="155" t="n">
        <v>103</v>
      </c>
      <c r="G23" s="102" t="n">
        <f aca="false">SUM(D23:F23)</f>
        <v>255</v>
      </c>
      <c r="H23" s="156" t="n">
        <v>95</v>
      </c>
      <c r="I23" s="156" t="n">
        <v>42</v>
      </c>
      <c r="J23" s="156" t="n">
        <v>89</v>
      </c>
      <c r="K23" s="104" t="n">
        <f aca="false">SUM(H23:J23)</f>
        <v>226</v>
      </c>
      <c r="L23" s="148" t="n">
        <f aca="false">K23/60</f>
        <v>3.76666666666667</v>
      </c>
      <c r="M23" s="149" t="n">
        <v>0</v>
      </c>
      <c r="N23" s="157" t="n">
        <v>2</v>
      </c>
      <c r="O23" s="151" t="n">
        <f aca="false">L23/N23</f>
        <v>1.88333333333333</v>
      </c>
      <c r="P23" s="153" t="n">
        <v>0</v>
      </c>
      <c r="Q23" s="153" t="n">
        <v>0</v>
      </c>
      <c r="R23" s="101" t="str">
        <f aca="false">INDEX('Base Novo Hamburgo'!$K$7:$K$27,MATCH('Desl. Base Novo Hamburgo'!C23,'Base Novo Hamburgo'!$B$7:$B$27,0))</f>
        <v>SIM</v>
      </c>
      <c r="S23" s="101" t="n">
        <v>1</v>
      </c>
    </row>
    <row r="24" customFormat="false" ht="15.75" hidden="false" customHeight="true" outlineLevel="0" collapsed="false">
      <c r="B24" s="51"/>
      <c r="C24" s="91" t="s">
        <v>149</v>
      </c>
      <c r="D24" s="155"/>
      <c r="E24" s="155"/>
      <c r="F24" s="155"/>
      <c r="G24" s="102"/>
      <c r="H24" s="156"/>
      <c r="I24" s="156"/>
      <c r="J24" s="156"/>
      <c r="K24" s="104"/>
      <c r="L24" s="148"/>
      <c r="M24" s="149"/>
      <c r="N24" s="157"/>
      <c r="O24" s="151" t="n">
        <f aca="false">O23</f>
        <v>1.88333333333333</v>
      </c>
      <c r="P24" s="153" t="n">
        <v>0</v>
      </c>
      <c r="Q24" s="153" t="n">
        <v>0</v>
      </c>
      <c r="R24" s="101" t="str">
        <f aca="false">INDEX('Base Novo Hamburgo'!$K$7:$K$27,MATCH('Desl. Base Novo Hamburgo'!C24,'Base Novo Hamburgo'!$B$7:$B$27,0))</f>
        <v>SIM</v>
      </c>
      <c r="S24" s="101" t="n">
        <v>1</v>
      </c>
    </row>
    <row r="25" customFormat="false" ht="15.75" hidden="false" customHeight="true" outlineLevel="0" collapsed="false">
      <c r="B25" s="51" t="n">
        <v>12</v>
      </c>
      <c r="C25" s="91" t="s">
        <v>150</v>
      </c>
      <c r="D25" s="92" t="n">
        <v>90.7</v>
      </c>
      <c r="E25" s="92" t="n">
        <v>90.4</v>
      </c>
      <c r="F25" s="92" t="n">
        <v>0</v>
      </c>
      <c r="G25" s="102" t="n">
        <f aca="false">SUM(D25:F25)</f>
        <v>181.1</v>
      </c>
      <c r="H25" s="147" t="n">
        <v>80</v>
      </c>
      <c r="I25" s="147" t="n">
        <v>84</v>
      </c>
      <c r="J25" s="147" t="n">
        <v>0</v>
      </c>
      <c r="K25" s="104" t="n">
        <f aca="false">SUM(H25:J25)</f>
        <v>164</v>
      </c>
      <c r="L25" s="151" t="n">
        <f aca="false">K25/60</f>
        <v>2.73333333333333</v>
      </c>
      <c r="M25" s="158" t="n">
        <v>0</v>
      </c>
      <c r="N25" s="150" t="n">
        <v>1</v>
      </c>
      <c r="O25" s="151" t="n">
        <f aca="false">L25</f>
        <v>2.73333333333333</v>
      </c>
      <c r="P25" s="149" t="n">
        <f aca="false">M25</f>
        <v>0</v>
      </c>
      <c r="Q25" s="149" t="n">
        <v>0</v>
      </c>
      <c r="R25" s="101" t="str">
        <f aca="false">INDEX('Base Novo Hamburgo'!$K$7:$K$27,MATCH('Desl. Base Novo Hamburgo'!C25,'Base Novo Hamburgo'!$B$7:$B$27,0))</f>
        <v>SIM</v>
      </c>
      <c r="S25" s="101" t="n">
        <v>1</v>
      </c>
    </row>
    <row r="26" customFormat="false" ht="21" hidden="false" customHeight="true" outlineLevel="0" collapsed="false">
      <c r="B26" s="108" t="s">
        <v>96</v>
      </c>
      <c r="C26" s="108"/>
      <c r="D26" s="108"/>
      <c r="E26" s="108"/>
      <c r="F26" s="108"/>
      <c r="G26" s="110" t="n">
        <f aca="false">SUM(G5:G25)</f>
        <v>1648.9</v>
      </c>
      <c r="H26" s="110" t="s">
        <v>96</v>
      </c>
      <c r="I26" s="110"/>
      <c r="J26" s="110"/>
      <c r="K26" s="111" t="n">
        <f aca="false">SUM(K5:K25)</f>
        <v>1559</v>
      </c>
      <c r="L26" s="110" t="n">
        <f aca="false">SUM(L5:L25)</f>
        <v>25.9833333333333</v>
      </c>
      <c r="M26" s="113" t="n">
        <f aca="false">SUM(M5:M25)</f>
        <v>116.6</v>
      </c>
      <c r="N26" s="111" t="n">
        <f aca="false">SUM(N5:N25)</f>
        <v>21</v>
      </c>
      <c r="O26" s="110"/>
      <c r="P26" s="113"/>
      <c r="Q26" s="113" t="n">
        <v>0</v>
      </c>
      <c r="R26" s="113"/>
      <c r="S26" s="113"/>
    </row>
    <row r="27" customFormat="false" ht="15.75" hidden="false" customHeight="true" outlineLevel="0" collapsed="false">
      <c r="B27" s="115"/>
      <c r="C27" s="115"/>
      <c r="D27" s="115"/>
      <c r="E27" s="115"/>
      <c r="F27" s="87"/>
      <c r="G27" s="87"/>
      <c r="H27" s="87"/>
      <c r="I27" s="87"/>
      <c r="J27" s="87"/>
      <c r="K27" s="87"/>
      <c r="L27" s="87"/>
      <c r="M27" s="87"/>
      <c r="N27" s="87"/>
    </row>
    <row r="28" customFormat="false" ht="18.75" hidden="false" customHeight="true" outlineLevel="0" collapsed="false">
      <c r="B28" s="116" t="s">
        <v>116</v>
      </c>
      <c r="C28" s="116"/>
      <c r="D28" s="116"/>
      <c r="E28" s="116"/>
      <c r="F28" s="115"/>
      <c r="G28" s="115"/>
      <c r="H28" s="115"/>
      <c r="I28" s="115"/>
      <c r="J28" s="115"/>
      <c r="K28" s="115"/>
      <c r="L28" s="115"/>
      <c r="M28" s="115"/>
      <c r="N28" s="115"/>
    </row>
    <row r="29" customFormat="false" ht="18.75" hidden="false" customHeight="true" outlineLevel="0" collapsed="false">
      <c r="B29" s="101" t="s">
        <v>117</v>
      </c>
      <c r="C29" s="101" t="s">
        <v>118</v>
      </c>
      <c r="D29" s="101" t="s">
        <v>119</v>
      </c>
      <c r="E29" s="101" t="s">
        <v>120</v>
      </c>
      <c r="F29" s="115"/>
      <c r="G29" s="117"/>
      <c r="H29" s="117"/>
      <c r="I29" s="115"/>
      <c r="J29" s="115"/>
      <c r="K29" s="115"/>
      <c r="L29" s="115"/>
      <c r="M29" s="115"/>
      <c r="N29" s="115"/>
    </row>
    <row r="30" customFormat="false" ht="18.75" hidden="false" customHeight="true" outlineLevel="0" collapsed="false">
      <c r="B30" s="51" t="s">
        <v>121</v>
      </c>
      <c r="C30" s="119" t="s">
        <v>122</v>
      </c>
      <c r="D30" s="51" t="s">
        <v>123</v>
      </c>
      <c r="E30" s="120" t="n">
        <f aca="false">'Desl. Base Caxias do Sul'!E19</f>
        <v>52.49</v>
      </c>
      <c r="F30" s="115"/>
      <c r="G30" s="121"/>
      <c r="H30" s="121"/>
      <c r="I30" s="115"/>
      <c r="J30" s="115"/>
      <c r="K30" s="159"/>
      <c r="L30" s="159"/>
    </row>
    <row r="31" customFormat="false" ht="18.75" hidden="false" customHeight="true" outlineLevel="0" collapsed="false">
      <c r="B31" s="107" t="s">
        <v>124</v>
      </c>
      <c r="C31" s="122" t="s">
        <v>122</v>
      </c>
      <c r="D31" s="107" t="s">
        <v>125</v>
      </c>
      <c r="E31" s="123" t="n">
        <f aca="false">'Desl. Base Caxias do Sul'!E20</f>
        <v>6.56</v>
      </c>
      <c r="F31" s="115"/>
      <c r="G31" s="121"/>
      <c r="H31" s="121"/>
      <c r="I31" s="115"/>
      <c r="J31" s="115"/>
      <c r="K31" s="159"/>
      <c r="L31" s="159"/>
    </row>
    <row r="32" customFormat="false" ht="47.25" hidden="false" customHeight="true" outlineLevel="0" collapsed="false">
      <c r="B32" s="124" t="s">
        <v>126</v>
      </c>
      <c r="C32" s="124"/>
      <c r="D32" s="124"/>
      <c r="E32" s="124"/>
      <c r="F32" s="125"/>
      <c r="G32" s="125"/>
      <c r="H32" s="125"/>
      <c r="I32" s="125"/>
      <c r="J32" s="125"/>
      <c r="K32" s="125"/>
      <c r="L32" s="159"/>
    </row>
    <row r="33" customFormat="false" ht="18.75" hidden="false" customHeight="true" outlineLevel="0" collapsed="false">
      <c r="B33" s="126"/>
      <c r="C33" s="126"/>
      <c r="D33" s="126"/>
      <c r="E33" s="126"/>
      <c r="F33" s="125"/>
      <c r="G33" s="125"/>
      <c r="H33" s="125"/>
      <c r="I33" s="125"/>
      <c r="J33" s="125"/>
      <c r="K33" s="125"/>
      <c r="L33" s="159"/>
    </row>
    <row r="34" customFormat="false" ht="15.75" hidden="false" customHeight="true" outlineLevel="0" collapsed="false">
      <c r="B34" s="116" t="s">
        <v>127</v>
      </c>
      <c r="C34" s="116"/>
      <c r="D34" s="115"/>
      <c r="E34" s="115"/>
      <c r="F34" s="115"/>
      <c r="G34" s="115"/>
      <c r="H34" s="115"/>
      <c r="I34" s="115"/>
      <c r="J34" s="115"/>
      <c r="K34" s="115"/>
      <c r="L34" s="115"/>
    </row>
    <row r="35" customFormat="false" ht="15.75" hidden="false" customHeight="true" outlineLevel="0" collapsed="false">
      <c r="B35" s="160" t="s">
        <v>123</v>
      </c>
      <c r="C35" s="161" t="n">
        <f aca="false">E30*L26</f>
        <v>1363.86516666667</v>
      </c>
      <c r="D35" s="115"/>
      <c r="E35" s="115"/>
      <c r="F35" s="115"/>
      <c r="G35" s="115"/>
      <c r="H35" s="115"/>
      <c r="I35" s="115"/>
      <c r="J35" s="115"/>
    </row>
    <row r="36" customFormat="false" ht="15.75" hidden="false" customHeight="true" outlineLevel="0" collapsed="false">
      <c r="B36" s="51" t="s">
        <v>125</v>
      </c>
      <c r="C36" s="120" t="n">
        <f aca="false">E31*('Base Novo Hamburgo'!N28/12)</f>
        <v>439.301333333333</v>
      </c>
      <c r="D36" s="115"/>
      <c r="E36" s="115"/>
      <c r="F36" s="115"/>
      <c r="G36" s="115"/>
      <c r="H36" s="115"/>
      <c r="I36" s="115"/>
      <c r="J36" s="115"/>
    </row>
    <row r="37" customFormat="false" ht="15.75" hidden="false" customHeight="true" outlineLevel="0" collapsed="false">
      <c r="B37" s="127" t="s">
        <v>28</v>
      </c>
      <c r="C37" s="128" t="n">
        <f aca="false">C35+C36</f>
        <v>1803.1665</v>
      </c>
      <c r="D37" s="115"/>
      <c r="E37" s="115"/>
      <c r="F37" s="115"/>
      <c r="G37" s="115"/>
      <c r="H37" s="115"/>
      <c r="I37" s="87"/>
      <c r="J37" s="87"/>
    </row>
    <row r="38" customFormat="false" ht="15.75" hidden="false" customHeight="true" outlineLevel="0" collapsed="false">
      <c r="B38" s="162"/>
      <c r="C38" s="162"/>
      <c r="D38" s="115"/>
      <c r="H38" s="87"/>
      <c r="I38" s="87"/>
    </row>
    <row r="39" customFormat="false" ht="15.75" hidden="false" customHeight="true" outlineLevel="0" collapsed="false">
      <c r="B39" s="130" t="s">
        <v>128</v>
      </c>
      <c r="C39" s="130"/>
      <c r="D39" s="115"/>
      <c r="H39" s="87"/>
      <c r="I39" s="87"/>
    </row>
    <row r="40" customFormat="false" ht="15.75" hidden="false" customHeight="true" outlineLevel="0" collapsed="false">
      <c r="B40" s="101" t="s">
        <v>120</v>
      </c>
      <c r="C40" s="132" t="n">
        <f aca="false">SUM(M5:M25)</f>
        <v>116.6</v>
      </c>
      <c r="I40" s="115"/>
    </row>
    <row r="41" customFormat="false" ht="14.25" hidden="false" customHeight="false" outlineLevel="0" collapsed="false">
      <c r="B41" s="87"/>
      <c r="C41" s="87"/>
      <c r="D41" s="87"/>
    </row>
    <row r="42" customFormat="false" ht="14.25" hidden="false" customHeight="false" outlineLevel="0" collapsed="false">
      <c r="B42" s="134" t="s">
        <v>129</v>
      </c>
      <c r="C42" s="135"/>
      <c r="D42" s="87"/>
    </row>
    <row r="43" customFormat="false" ht="14.25" hidden="false" customHeight="false" outlineLevel="0" collapsed="false">
      <c r="B43" s="121"/>
      <c r="C43" s="115"/>
      <c r="D43" s="115"/>
    </row>
    <row r="44" customFormat="false" ht="14.25" hidden="false" customHeight="false" outlineLevel="0" collapsed="false">
      <c r="B44" s="121"/>
      <c r="C44" s="115"/>
      <c r="D44" s="115"/>
    </row>
    <row r="45" customFormat="false" ht="14.25" hidden="false" customHeight="false" outlineLevel="0" collapsed="false">
      <c r="B45" s="162"/>
      <c r="C45" s="115"/>
      <c r="D45" s="115"/>
    </row>
    <row r="46" customFormat="false" ht="14.25" hidden="false" customHeight="false" outlineLevel="0" collapsed="false">
      <c r="B46" s="115"/>
      <c r="C46" s="115"/>
      <c r="D46" s="121"/>
    </row>
    <row r="47" customFormat="false" ht="14.25" hidden="false" customHeight="false" outlineLevel="0" collapsed="false">
      <c r="B47" s="115"/>
      <c r="C47" s="115"/>
      <c r="D47" s="121"/>
    </row>
    <row r="48" customFormat="false" ht="14.25" hidden="false" customHeight="false" outlineLevel="0" collapsed="false">
      <c r="B48" s="162"/>
      <c r="C48" s="115"/>
      <c r="D48" s="163"/>
    </row>
    <row r="49" customFormat="false" ht="14.25" hidden="false" customHeight="false" outlineLevel="0" collapsed="false">
      <c r="B49" s="87"/>
      <c r="C49" s="87"/>
      <c r="D49" s="87"/>
    </row>
    <row r="50" customFormat="false" ht="14.25" hidden="false" customHeight="false" outlineLevel="0" collapsed="false">
      <c r="B50" s="164"/>
      <c r="C50" s="87"/>
      <c r="D50" s="87"/>
    </row>
    <row r="51" customFormat="false" ht="14.25" hidden="false" customHeight="false" outlineLevel="0" collapsed="false">
      <c r="B51" s="121"/>
      <c r="C51" s="115"/>
      <c r="D51" s="115"/>
    </row>
    <row r="52" customFormat="false" ht="14.25" hidden="false" customHeight="false" outlineLevel="0" collapsed="false">
      <c r="B52" s="162"/>
      <c r="C52" s="115"/>
      <c r="D52" s="115"/>
    </row>
    <row r="53" customFormat="false" ht="14.25" hidden="false" customHeight="false" outlineLevel="0" collapsed="false">
      <c r="B53" s="115"/>
      <c r="C53" s="115"/>
      <c r="D53" s="121"/>
    </row>
    <row r="54" customFormat="false" ht="14.25" hidden="false" customHeight="false" outlineLevel="0" collapsed="false">
      <c r="B54" s="115"/>
      <c r="C54" s="115"/>
      <c r="D54" s="121"/>
    </row>
    <row r="55" customFormat="false" ht="14.25" hidden="false" customHeight="false" outlineLevel="0" collapsed="false">
      <c r="B55" s="162"/>
      <c r="C55" s="115"/>
      <c r="D55" s="163"/>
    </row>
    <row r="56" customFormat="false" ht="14.25" hidden="false" customHeight="false" outlineLevel="0" collapsed="false">
      <c r="B56" s="87"/>
      <c r="C56" s="87"/>
      <c r="D56" s="87"/>
    </row>
    <row r="57" customFormat="false" ht="14.25" hidden="false" customHeight="false" outlineLevel="0" collapsed="false">
      <c r="B57" s="164"/>
      <c r="C57" s="87"/>
      <c r="D57" s="87"/>
    </row>
    <row r="58" customFormat="false" ht="14.25" hidden="false" customHeight="false" outlineLevel="0" collapsed="false">
      <c r="B58" s="121"/>
      <c r="C58" s="115"/>
      <c r="D58" s="115"/>
    </row>
    <row r="59" customFormat="false" ht="14.25" hidden="false" customHeight="false" outlineLevel="0" collapsed="false">
      <c r="B59" s="162"/>
      <c r="C59" s="115"/>
      <c r="D59" s="115"/>
    </row>
    <row r="60" customFormat="false" ht="14.25" hidden="false" customHeight="false" outlineLevel="0" collapsed="false">
      <c r="B60" s="115"/>
      <c r="C60" s="115"/>
      <c r="D60" s="121"/>
    </row>
    <row r="61" customFormat="false" ht="14.25" hidden="false" customHeight="false" outlineLevel="0" collapsed="false">
      <c r="B61" s="115"/>
      <c r="C61" s="115"/>
      <c r="D61" s="121"/>
    </row>
    <row r="62" customFormat="false" ht="14.25" hidden="false" customHeight="false" outlineLevel="0" collapsed="false">
      <c r="B62" s="115"/>
      <c r="C62" s="115"/>
      <c r="D62" s="121"/>
    </row>
    <row r="63" customFormat="false" ht="14.25" hidden="false" customHeight="false" outlineLevel="0" collapsed="false">
      <c r="B63" s="162"/>
      <c r="C63" s="115"/>
      <c r="D63" s="163"/>
    </row>
    <row r="1048576" customFormat="false" ht="12.75" hidden="false" customHeight="false" outlineLevel="0" collapsed="false"/>
  </sheetData>
  <mergeCells count="104">
    <mergeCell ref="B2:Q2"/>
    <mergeCell ref="B5:B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10:B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B12:B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B14:B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B16:B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B18:B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B20:B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B23:B24"/>
    <mergeCell ref="D23:D24"/>
    <mergeCell ref="E23:E24"/>
    <mergeCell ref="F23:F24"/>
    <mergeCell ref="G23:G24"/>
    <mergeCell ref="H23:H24"/>
    <mergeCell ref="I23:I24"/>
    <mergeCell ref="J23:J24"/>
    <mergeCell ref="K23:K24"/>
    <mergeCell ref="L23:L24"/>
    <mergeCell ref="M23:M24"/>
    <mergeCell ref="N23:N24"/>
    <mergeCell ref="B26:F26"/>
    <mergeCell ref="H26:J26"/>
    <mergeCell ref="B28:E28"/>
    <mergeCell ref="B32:E32"/>
    <mergeCell ref="B34:C34"/>
    <mergeCell ref="B39:C39"/>
  </mergeCells>
  <printOptions headings="false" gridLines="false" gridLinesSet="true" horizontalCentered="true" verticalCentered="false"/>
  <pageMargins left="0.7875" right="0.7875" top="0.159722222222222" bottom="0.0819444444444444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I32"/>
  <sheetViews>
    <sheetView showFormulas="false" showGridLines="false" showRowColHeaders="true" showZeros="true" rightToLeft="false" tabSelected="false" showOutlineSymbols="true" defaultGridColor="true" view="normal" topLeftCell="A18" colorId="64" zoomScale="100" zoomScaleNormal="100" zoomScalePageLayoutView="100" workbookViewId="0">
      <selection pane="topLeft" activeCell="L38" activeCellId="0" sqref="L38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3"/>
    <col collapsed="false" customWidth="true" hidden="false" outlineLevel="0" max="3" min="3" style="1" width="12.25"/>
    <col collapsed="false" customWidth="true" hidden="false" outlineLevel="0" max="4" min="4" style="1" width="60"/>
    <col collapsed="false" customWidth="true" hidden="false" outlineLevel="0" max="5" min="5" style="1" width="30"/>
    <col collapsed="false" customWidth="true" hidden="false" outlineLevel="0" max="6" min="6" style="1" width="10"/>
    <col collapsed="false" customWidth="true" hidden="false" outlineLevel="0" max="7" min="7" style="1" width="13.76"/>
    <col collapsed="false" customWidth="true" hidden="false" outlineLevel="0" max="8" min="8" style="1" width="12"/>
    <col collapsed="false" customWidth="true" hidden="false" outlineLevel="0" max="9" min="9" style="1" width="14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65" t="s">
        <v>152</v>
      </c>
      <c r="C2" s="165"/>
      <c r="D2" s="165"/>
      <c r="E2" s="165"/>
      <c r="F2" s="165"/>
      <c r="G2" s="165"/>
      <c r="H2" s="165"/>
      <c r="I2" s="165"/>
    </row>
    <row r="3" customFormat="false" ht="21" hidden="false" customHeight="true" outlineLevel="0" collapsed="false"/>
    <row r="4" customFormat="false" ht="16.5" hidden="false" customHeight="true" outlineLevel="0" collapsed="false">
      <c r="B4" s="166" t="s">
        <v>153</v>
      </c>
      <c r="C4" s="166"/>
      <c r="D4" s="166"/>
      <c r="E4" s="166"/>
      <c r="F4" s="166"/>
      <c r="G4" s="166"/>
      <c r="H4" s="166"/>
      <c r="I4" s="166"/>
    </row>
    <row r="5" customFormat="false" ht="16.5" hidden="false" customHeight="true" outlineLevel="0" collapsed="false">
      <c r="B5" s="167" t="s">
        <v>154</v>
      </c>
      <c r="C5" s="167"/>
      <c r="D5" s="168" t="s">
        <v>155</v>
      </c>
      <c r="E5" s="168"/>
      <c r="F5" s="168"/>
      <c r="G5" s="168"/>
      <c r="H5" s="168"/>
      <c r="I5" s="168"/>
    </row>
    <row r="6" customFormat="false" ht="16.5" hidden="false" customHeight="true" outlineLevel="0" collapsed="false">
      <c r="B6" s="167" t="s">
        <v>118</v>
      </c>
      <c r="C6" s="167"/>
      <c r="D6" s="168" t="s">
        <v>156</v>
      </c>
      <c r="E6" s="168"/>
      <c r="F6" s="168"/>
      <c r="G6" s="168"/>
      <c r="H6" s="168"/>
      <c r="I6" s="168"/>
    </row>
    <row r="7" customFormat="false" ht="16.5" hidden="false" customHeight="true" outlineLevel="0" collapsed="false">
      <c r="B7" s="167" t="s">
        <v>157</v>
      </c>
      <c r="C7" s="167"/>
      <c r="D7" s="169" t="s">
        <v>158</v>
      </c>
      <c r="E7" s="169"/>
      <c r="F7" s="169"/>
      <c r="G7" s="169"/>
      <c r="H7" s="169"/>
      <c r="I7" s="169"/>
    </row>
    <row r="8" customFormat="false" ht="16.5" hidden="false" customHeight="true" outlineLevel="0" collapsed="false">
      <c r="B8" s="167" t="s">
        <v>159</v>
      </c>
      <c r="C8" s="167"/>
      <c r="D8" s="168" t="s">
        <v>160</v>
      </c>
      <c r="E8" s="168"/>
      <c r="F8" s="168"/>
      <c r="G8" s="168"/>
      <c r="H8" s="168"/>
      <c r="I8" s="168"/>
    </row>
    <row r="9" customFormat="false" ht="16.5" hidden="false" customHeight="true" outlineLevel="0" collapsed="false">
      <c r="B9" s="167" t="s">
        <v>161</v>
      </c>
      <c r="C9" s="167"/>
      <c r="D9" s="168" t="s">
        <v>162</v>
      </c>
      <c r="E9" s="168"/>
      <c r="F9" s="168"/>
      <c r="G9" s="168"/>
      <c r="H9" s="168"/>
      <c r="I9" s="168"/>
    </row>
    <row r="10" customFormat="false" ht="16.5" hidden="false" customHeight="true" outlineLevel="0" collapsed="false">
      <c r="B10" s="167" t="s">
        <v>119</v>
      </c>
      <c r="C10" s="167"/>
      <c r="D10" s="168" t="s">
        <v>123</v>
      </c>
      <c r="E10" s="168"/>
      <c r="F10" s="168"/>
      <c r="G10" s="168"/>
      <c r="H10" s="168"/>
      <c r="I10" s="168"/>
    </row>
    <row r="11" customFormat="false" ht="23.25" hidden="false" customHeight="true" outlineLevel="0" collapsed="false">
      <c r="B11" s="170" t="s">
        <v>163</v>
      </c>
      <c r="C11" s="170"/>
      <c r="D11" s="171" t="n">
        <f aca="false">SUM(I14:I18)</f>
        <v>52.49</v>
      </c>
      <c r="E11" s="171"/>
      <c r="F11" s="171"/>
      <c r="G11" s="171"/>
      <c r="H11" s="171"/>
      <c r="I11" s="171"/>
    </row>
    <row r="12" customFormat="false" ht="15.75" hidden="false" customHeight="true" outlineLevel="0" collapsed="false">
      <c r="B12" s="172"/>
      <c r="C12" s="172"/>
      <c r="D12" s="173"/>
      <c r="E12" s="173"/>
      <c r="F12" s="173"/>
      <c r="G12" s="173"/>
      <c r="H12" s="173"/>
      <c r="I12" s="173"/>
    </row>
    <row r="13" customFormat="false" ht="29.25" hidden="false" customHeight="true" outlineLevel="0" collapsed="false">
      <c r="B13" s="174"/>
      <c r="C13" s="174" t="s">
        <v>164</v>
      </c>
      <c r="D13" s="174" t="s">
        <v>118</v>
      </c>
      <c r="E13" s="174" t="s">
        <v>161</v>
      </c>
      <c r="F13" s="174" t="s">
        <v>119</v>
      </c>
      <c r="G13" s="174" t="s">
        <v>163</v>
      </c>
      <c r="H13" s="174" t="s">
        <v>165</v>
      </c>
      <c r="I13" s="174" t="s">
        <v>163</v>
      </c>
    </row>
    <row r="14" customFormat="false" ht="27.75" hidden="false" customHeight="true" outlineLevel="0" collapsed="false">
      <c r="B14" s="175" t="s">
        <v>166</v>
      </c>
      <c r="C14" s="175" t="s">
        <v>167</v>
      </c>
      <c r="D14" s="176" t="s">
        <v>168</v>
      </c>
      <c r="E14" s="176" t="s">
        <v>162</v>
      </c>
      <c r="F14" s="175" t="s">
        <v>169</v>
      </c>
      <c r="G14" s="177" t="n">
        <v>4.58</v>
      </c>
      <c r="H14" s="177" t="n">
        <v>1</v>
      </c>
      <c r="I14" s="177" t="n">
        <f aca="false">G14*H14</f>
        <v>4.58</v>
      </c>
    </row>
    <row r="15" customFormat="false" ht="27.75" hidden="false" customHeight="true" outlineLevel="0" collapsed="false">
      <c r="B15" s="175" t="s">
        <v>166</v>
      </c>
      <c r="C15" s="175" t="s">
        <v>170</v>
      </c>
      <c r="D15" s="176" t="s">
        <v>171</v>
      </c>
      <c r="E15" s="176" t="s">
        <v>162</v>
      </c>
      <c r="F15" s="175" t="s">
        <v>169</v>
      </c>
      <c r="G15" s="177" t="n">
        <v>1.41</v>
      </c>
      <c r="H15" s="177" t="n">
        <v>1</v>
      </c>
      <c r="I15" s="177" t="n">
        <f aca="false">G15*H15</f>
        <v>1.41</v>
      </c>
    </row>
    <row r="16" customFormat="false" ht="42" hidden="false" customHeight="true" outlineLevel="0" collapsed="false">
      <c r="B16" s="175" t="s">
        <v>166</v>
      </c>
      <c r="C16" s="175" t="s">
        <v>172</v>
      </c>
      <c r="D16" s="176" t="s">
        <v>173</v>
      </c>
      <c r="E16" s="176" t="s">
        <v>162</v>
      </c>
      <c r="F16" s="175" t="s">
        <v>169</v>
      </c>
      <c r="G16" s="177" t="n">
        <v>0.57</v>
      </c>
      <c r="H16" s="177" t="n">
        <v>1</v>
      </c>
      <c r="I16" s="177" t="n">
        <f aca="false">G16*H16</f>
        <v>0.57</v>
      </c>
    </row>
    <row r="17" customFormat="false" ht="27.75" hidden="false" customHeight="true" outlineLevel="0" collapsed="false">
      <c r="B17" s="175" t="s">
        <v>166</v>
      </c>
      <c r="C17" s="175" t="s">
        <v>174</v>
      </c>
      <c r="D17" s="176" t="s">
        <v>175</v>
      </c>
      <c r="E17" s="176" t="s">
        <v>162</v>
      </c>
      <c r="F17" s="175" t="s">
        <v>169</v>
      </c>
      <c r="G17" s="177" t="n">
        <v>5.73</v>
      </c>
      <c r="H17" s="177" t="n">
        <v>1</v>
      </c>
      <c r="I17" s="177" t="n">
        <f aca="false">G17*H17</f>
        <v>5.73</v>
      </c>
    </row>
    <row r="18" customFormat="false" ht="42" hidden="false" customHeight="true" outlineLevel="0" collapsed="false">
      <c r="B18" s="175" t="s">
        <v>166</v>
      </c>
      <c r="C18" s="175" t="s">
        <v>176</v>
      </c>
      <c r="D18" s="176" t="s">
        <v>177</v>
      </c>
      <c r="E18" s="176" t="s">
        <v>162</v>
      </c>
      <c r="F18" s="175" t="s">
        <v>169</v>
      </c>
      <c r="G18" s="177" t="n">
        <v>40.2</v>
      </c>
      <c r="H18" s="177" t="n">
        <v>1</v>
      </c>
      <c r="I18" s="177" t="n">
        <f aca="false">G18*H18</f>
        <v>40.2</v>
      </c>
    </row>
    <row r="19" customFormat="false" ht="27.75" hidden="false" customHeight="true" outlineLevel="0" collapsed="false"/>
    <row r="20" customFormat="false" ht="16.5" hidden="false" customHeight="true" outlineLevel="0" collapsed="false">
      <c r="B20" s="165" t="s">
        <v>178</v>
      </c>
      <c r="C20" s="165"/>
      <c r="D20" s="165"/>
      <c r="E20" s="165"/>
      <c r="F20" s="165"/>
      <c r="G20" s="165"/>
      <c r="H20" s="165"/>
      <c r="I20" s="165"/>
    </row>
    <row r="21" customFormat="false" ht="16.5" hidden="false" customHeight="true" outlineLevel="0" collapsed="false">
      <c r="B21" s="170" t="s">
        <v>154</v>
      </c>
      <c r="C21" s="170"/>
      <c r="D21" s="178" t="s">
        <v>179</v>
      </c>
      <c r="E21" s="178"/>
      <c r="F21" s="178"/>
      <c r="G21" s="178"/>
      <c r="H21" s="178"/>
      <c r="I21" s="178"/>
    </row>
    <row r="22" customFormat="false" ht="16.5" hidden="false" customHeight="true" outlineLevel="0" collapsed="false">
      <c r="B22" s="170" t="s">
        <v>118</v>
      </c>
      <c r="C22" s="170"/>
      <c r="D22" s="178" t="s">
        <v>180</v>
      </c>
      <c r="E22" s="178"/>
      <c r="F22" s="178"/>
      <c r="G22" s="178"/>
      <c r="H22" s="178"/>
      <c r="I22" s="178"/>
    </row>
    <row r="23" customFormat="false" ht="16.5" hidden="false" customHeight="true" outlineLevel="0" collapsed="false">
      <c r="B23" s="170" t="s">
        <v>157</v>
      </c>
      <c r="C23" s="170"/>
      <c r="D23" s="179" t="str">
        <f aca="false">D7</f>
        <v>01/2025</v>
      </c>
      <c r="E23" s="179"/>
      <c r="F23" s="179"/>
      <c r="G23" s="179"/>
      <c r="H23" s="179"/>
      <c r="I23" s="179"/>
    </row>
    <row r="24" customFormat="false" ht="16.5" hidden="false" customHeight="true" outlineLevel="0" collapsed="false">
      <c r="B24" s="170" t="s">
        <v>159</v>
      </c>
      <c r="C24" s="170"/>
      <c r="D24" s="178" t="str">
        <f aca="false">D8</f>
        <v>Rio Grande do Sul</v>
      </c>
      <c r="E24" s="178"/>
      <c r="F24" s="178"/>
      <c r="G24" s="178"/>
      <c r="H24" s="178"/>
      <c r="I24" s="178"/>
    </row>
    <row r="25" customFormat="false" ht="16.5" hidden="false" customHeight="true" outlineLevel="0" collapsed="false">
      <c r="B25" s="170" t="s">
        <v>161</v>
      </c>
      <c r="C25" s="170"/>
      <c r="D25" s="178" t="s">
        <v>162</v>
      </c>
      <c r="E25" s="178"/>
      <c r="F25" s="178"/>
      <c r="G25" s="178"/>
      <c r="H25" s="178"/>
      <c r="I25" s="178"/>
    </row>
    <row r="26" customFormat="false" ht="16.5" hidden="false" customHeight="true" outlineLevel="0" collapsed="false">
      <c r="B26" s="170" t="s">
        <v>119</v>
      </c>
      <c r="C26" s="170"/>
      <c r="D26" s="178" t="s">
        <v>125</v>
      </c>
      <c r="E26" s="178"/>
      <c r="F26" s="178"/>
      <c r="G26" s="178"/>
      <c r="H26" s="178"/>
      <c r="I26" s="178"/>
    </row>
    <row r="27" customFormat="false" ht="23.25" hidden="false" customHeight="true" outlineLevel="0" collapsed="false">
      <c r="B27" s="170" t="s">
        <v>163</v>
      </c>
      <c r="C27" s="170"/>
      <c r="D27" s="180" t="n">
        <f aca="false">SUM(I30:I32)</f>
        <v>6.56</v>
      </c>
      <c r="E27" s="180"/>
      <c r="F27" s="180"/>
      <c r="G27" s="180"/>
      <c r="H27" s="180"/>
      <c r="I27" s="180"/>
    </row>
    <row r="28" customFormat="false" ht="15.75" hidden="false" customHeight="true" outlineLevel="0" collapsed="false">
      <c r="B28" s="172"/>
      <c r="C28" s="172"/>
      <c r="D28" s="173"/>
      <c r="E28" s="173"/>
      <c r="F28" s="173"/>
      <c r="G28" s="173"/>
      <c r="H28" s="173"/>
      <c r="I28" s="173"/>
    </row>
    <row r="29" customFormat="false" ht="29.25" hidden="false" customHeight="true" outlineLevel="0" collapsed="false">
      <c r="B29" s="174"/>
      <c r="C29" s="174" t="s">
        <v>164</v>
      </c>
      <c r="D29" s="174" t="s">
        <v>118</v>
      </c>
      <c r="E29" s="174" t="s">
        <v>161</v>
      </c>
      <c r="F29" s="174" t="s">
        <v>119</v>
      </c>
      <c r="G29" s="174" t="s">
        <v>163</v>
      </c>
      <c r="H29" s="174" t="s">
        <v>165</v>
      </c>
      <c r="I29" s="174" t="s">
        <v>163</v>
      </c>
    </row>
    <row r="30" customFormat="false" ht="27.75" hidden="false" customHeight="true" outlineLevel="0" collapsed="false">
      <c r="B30" s="175" t="s">
        <v>166</v>
      </c>
      <c r="C30" s="175" t="s">
        <v>167</v>
      </c>
      <c r="D30" s="176" t="s">
        <v>168</v>
      </c>
      <c r="E30" s="176" t="s">
        <v>162</v>
      </c>
      <c r="F30" s="175" t="s">
        <v>169</v>
      </c>
      <c r="G30" s="177" t="n">
        <f aca="false">G14</f>
        <v>4.58</v>
      </c>
      <c r="H30" s="177" t="n">
        <v>1</v>
      </c>
      <c r="I30" s="177" t="n">
        <f aca="false">G30*H30</f>
        <v>4.58</v>
      </c>
    </row>
    <row r="31" customFormat="false" ht="27.75" hidden="false" customHeight="true" outlineLevel="0" collapsed="false">
      <c r="B31" s="175" t="s">
        <v>166</v>
      </c>
      <c r="C31" s="175" t="s">
        <v>170</v>
      </c>
      <c r="D31" s="176" t="s">
        <v>171</v>
      </c>
      <c r="E31" s="176" t="s">
        <v>162</v>
      </c>
      <c r="F31" s="175" t="s">
        <v>169</v>
      </c>
      <c r="G31" s="177" t="n">
        <f aca="false">G15</f>
        <v>1.41</v>
      </c>
      <c r="H31" s="177" t="n">
        <v>1</v>
      </c>
      <c r="I31" s="177" t="n">
        <f aca="false">G31*H31</f>
        <v>1.41</v>
      </c>
    </row>
    <row r="32" customFormat="false" ht="42" hidden="false" customHeight="true" outlineLevel="0" collapsed="false">
      <c r="B32" s="175" t="s">
        <v>166</v>
      </c>
      <c r="C32" s="175" t="s">
        <v>172</v>
      </c>
      <c r="D32" s="176" t="s">
        <v>173</v>
      </c>
      <c r="E32" s="176" t="s">
        <v>162</v>
      </c>
      <c r="F32" s="175" t="s">
        <v>169</v>
      </c>
      <c r="G32" s="177" t="n">
        <f aca="false">G16</f>
        <v>0.57</v>
      </c>
      <c r="H32" s="177" t="n">
        <v>1</v>
      </c>
      <c r="I32" s="177" t="n">
        <f aca="false">G32*H32</f>
        <v>0.57</v>
      </c>
    </row>
  </sheetData>
  <mergeCells count="31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  <mergeCell ref="B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C27"/>
    <mergeCell ref="D27:I27"/>
  </mergeCells>
  <printOptions headings="false" gridLines="false" gridLinesSet="true" horizontalCentered="true" verticalCentered="false"/>
  <pageMargins left="0.177083333333333" right="0.134027777777778" top="0.374305555555556" bottom="0.3201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F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6" activeCellId="0" sqref="B16"/>
    </sheetView>
  </sheetViews>
  <sheetFormatPr defaultColWidth="10.125" defaultRowHeight="12.75" zeroHeight="false" outlineLevelRow="0" outlineLevelCol="0"/>
  <cols>
    <col collapsed="false" customWidth="true" hidden="false" outlineLevel="0" max="1" min="1" style="181" width="5"/>
    <col collapsed="false" customWidth="true" hidden="false" outlineLevel="0" max="2" min="2" style="181" width="33.62"/>
    <col collapsed="false" customWidth="true" hidden="false" outlineLevel="0" max="3" min="3" style="181" width="27.76"/>
    <col collapsed="false" customWidth="true" hidden="false" outlineLevel="0" max="4" min="4" style="181" width="15"/>
    <col collapsed="false" customWidth="true" hidden="false" outlineLevel="0" max="5" min="5" style="181" width="7.5"/>
    <col collapsed="false" customWidth="false" hidden="false" outlineLevel="0" max="16384" min="6" style="181" width="10.12"/>
  </cols>
  <sheetData>
    <row r="1" customFormat="false" ht="15" hidden="false" customHeight="true" outlineLevel="0" collapsed="false"/>
    <row r="2" customFormat="false" ht="15" hidden="false" customHeight="true" outlineLevel="0" collapsed="false">
      <c r="C2" s="182" t="s">
        <v>181</v>
      </c>
    </row>
    <row r="3" customFormat="false" ht="15" hidden="false" customHeight="true" outlineLevel="0" collapsed="false">
      <c r="B3" s="183" t="s">
        <v>182</v>
      </c>
      <c r="C3" s="182" t="s">
        <v>183</v>
      </c>
    </row>
    <row r="4" customFormat="false" ht="15" hidden="false" customHeight="true" outlineLevel="0" collapsed="false">
      <c r="B4" s="183" t="s">
        <v>184</v>
      </c>
      <c r="C4" s="184" t="s">
        <v>185</v>
      </c>
    </row>
    <row r="5" customFormat="false" ht="15" hidden="false" customHeight="true" outlineLevel="0" collapsed="false">
      <c r="B5" s="183" t="s">
        <v>186</v>
      </c>
      <c r="C5" s="184" t="n">
        <v>45566</v>
      </c>
    </row>
    <row r="6" customFormat="false" ht="15" hidden="false" customHeight="true" outlineLevel="0" collapsed="false">
      <c r="B6" s="183" t="s">
        <v>187</v>
      </c>
      <c r="C6" s="185" t="n">
        <v>78.48</v>
      </c>
    </row>
    <row r="7" customFormat="false" ht="12.75" hidden="false" customHeight="false" outlineLevel="0" collapsed="false">
      <c r="B7" s="186"/>
      <c r="C7" s="187"/>
    </row>
    <row r="8" customFormat="false" ht="27.75" hidden="false" customHeight="true" outlineLevel="0" collapsed="false">
      <c r="B8" s="188" t="s">
        <v>188</v>
      </c>
      <c r="C8" s="189" t="s">
        <v>189</v>
      </c>
    </row>
    <row r="9" customFormat="false" ht="15" hidden="false" customHeight="true" outlineLevel="0" collapsed="false">
      <c r="B9" s="183" t="s">
        <v>190</v>
      </c>
      <c r="C9" s="190" t="n">
        <v>0.9022</v>
      </c>
    </row>
    <row r="10" customFormat="false" ht="15" hidden="false" customHeight="true" outlineLevel="0" collapsed="false">
      <c r="B10" s="183" t="s">
        <v>191</v>
      </c>
      <c r="C10" s="190" t="n">
        <v>1.1284</v>
      </c>
    </row>
    <row r="11" customFormat="false" ht="13.5" hidden="false" customHeight="true" outlineLevel="0" collapsed="false">
      <c r="B11" s="186"/>
      <c r="C11" s="186"/>
    </row>
    <row r="12" customFormat="false" ht="15" hidden="false" customHeight="true" outlineLevel="0" collapsed="false">
      <c r="B12" s="191" t="s">
        <v>192</v>
      </c>
      <c r="C12" s="192"/>
    </row>
    <row r="13" customFormat="false" ht="15" hidden="false" customHeight="true" outlineLevel="0" collapsed="false">
      <c r="B13" s="193" t="s">
        <v>193</v>
      </c>
      <c r="C13" s="194" t="n">
        <f aca="false">C6*(1+C9)</f>
        <v>149.284656</v>
      </c>
      <c r="D13" s="195"/>
      <c r="F13" s="196"/>
    </row>
    <row r="14" customFormat="false" ht="15" hidden="false" customHeight="true" outlineLevel="0" collapsed="false">
      <c r="B14" s="193" t="s">
        <v>194</v>
      </c>
      <c r="C14" s="194" t="n">
        <f aca="false">C6*(1+C10)</f>
        <v>167.036832</v>
      </c>
      <c r="D14" s="195"/>
      <c r="F14" s="196"/>
    </row>
    <row r="16" customFormat="false" ht="40.5" hidden="false" customHeight="true" outlineLevel="0" collapsed="false">
      <c r="B16" s="197" t="s">
        <v>195</v>
      </c>
      <c r="C16" s="197"/>
    </row>
  </sheetData>
  <mergeCells count="1">
    <mergeCell ref="B16:C16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&amp;CPágina &amp;P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3BBFC5D-552D-433F-8D1A-5FADC165DB73}"/>
</file>

<file path=customXml/itemProps2.xml><?xml version="1.0" encoding="utf-8"?>
<ds:datastoreItem xmlns:ds="http://schemas.openxmlformats.org/officeDocument/2006/customXml" ds:itemID="{42595680-5969-4085-8954-0DA172AA1C5E}"/>
</file>

<file path=customXml/itemProps3.xml><?xml version="1.0" encoding="utf-8"?>
<ds:datastoreItem xmlns:ds="http://schemas.openxmlformats.org/officeDocument/2006/customXml" ds:itemID="{6A44507E-6D8D-4AD8-ABA4-3521B24EC87F}"/>
</file>

<file path=customXml/itemProps4.xml><?xml version="1.0" encoding="utf-8"?>
<ds:datastoreItem xmlns:ds="http://schemas.openxmlformats.org/officeDocument/2006/customXml" ds:itemID="{ECDC9DD2-0846-45DF-8F51-838AA97DF1F4}"/>
</file>

<file path=customXml/itemProps5.xml><?xml version="1.0" encoding="utf-8"?>
<ds:datastoreItem xmlns:ds="http://schemas.openxmlformats.org/officeDocument/2006/customXml" ds:itemID="{08E6B004-D92B-43C3-A6B8-CC2C10459273}"/>
</file>

<file path=customXml/itemProps6.xml><?xml version="1.0" encoding="utf-8"?>
<ds:datastoreItem xmlns:ds="http://schemas.openxmlformats.org/officeDocument/2006/customXml" ds:itemID="{3B922900-6CAB-445B-9391-4FC96EA2AB94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dc:description/>
  <cp:lastModifiedBy/>
  <cp:revision>39</cp:revision>
  <dcterms:created xsi:type="dcterms:W3CDTF">2022-02-01T12:05:24Z</dcterms:created>
  <dcterms:modified xsi:type="dcterms:W3CDTF">2025-04-04T09:41:02Z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